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s://keuruu-my.sharepoint.com/personal/mikko_kakkonen_keuruu_fi/Documents/Personal/RPG/rope/"/>
    </mc:Choice>
  </mc:AlternateContent>
  <bookViews>
    <workbookView xWindow="0" yWindow="0" windowWidth="17250" windowHeight="5655"/>
  </bookViews>
  <sheets>
    <sheet name="Changelog" sheetId="9" r:id="rId1"/>
    <sheet name="Ohjeet" sheetId="1" r:id="rId2"/>
    <sheet name="Stats" sheetId="2" r:id="rId3"/>
    <sheet name="Skills" sheetId="3" r:id="rId4"/>
    <sheet name="Info" sheetId="4" r:id="rId5"/>
    <sheet name="HW" sheetId="5" r:id="rId6"/>
    <sheet name="TF" sheetId="6" r:id="rId7"/>
    <sheet name="RC" sheetId="7" r:id="rId8"/>
    <sheet name="Racial Talents" sheetId="8" r:id="rId9"/>
    <sheet name="Info_old" sheetId="13" r:id="rId10"/>
    <sheet name="HW_old" sheetId="14" r:id="rId11"/>
  </sheets>
  <definedNames>
    <definedName name="Alignment" localSheetId="9">Info_old!$B$252:$B$260</definedName>
    <definedName name="Alignment">Info!$B$252:$B$260</definedName>
    <definedName name="Eyes" localSheetId="9">Info_old!$ER$210:$ER$213</definedName>
    <definedName name="Eyes">Info!$ER$210:$ER$213</definedName>
    <definedName name="Flaws">TF!$E$2:$E$200</definedName>
    <definedName name="Hair" localSheetId="9">Info_old!$EU$210:$EU$213</definedName>
    <definedName name="Hair">Info!$EU$210:$EU$213</definedName>
    <definedName name="Powers" localSheetId="9">Info_old!$F$203:$F$224</definedName>
    <definedName name="Powers">Info!$F$203:$F$224</definedName>
    <definedName name="Professions" localSheetId="9">Info_old!$F$2:$CV$2</definedName>
    <definedName name="Professions">Info!$F$2:$CV$2</definedName>
    <definedName name="Races" localSheetId="9">Info_old!$DI$3:$DI$67</definedName>
    <definedName name="Races">Info!$DI$3:$DI$67</definedName>
    <definedName name="Skin" localSheetId="9">Info_old!$EO$210:$EO$212</definedName>
    <definedName name="Skin">Info!$EO$210:$EO$212</definedName>
    <definedName name="Talents">TF!$A$2:$A$250</definedName>
    <definedName name="TPs" localSheetId="9">Info_old!$E$257:$E$383</definedName>
    <definedName name="TPs">Info!$E$257:$E$383</definedName>
    <definedName name="_xlnm.Print_Area" localSheetId="1">Ohjeet!$A$1:$K$102</definedName>
    <definedName name="_xlnm.Print_Area" localSheetId="3">Skills!$A$2:$K$373</definedName>
    <definedName name="_xlnm.Print_Area" localSheetId="2">Stats!$A$1:$I$186</definedName>
  </definedNames>
  <calcPr calcId="162913"/>
</workbook>
</file>

<file path=xl/calcChain.xml><?xml version="1.0" encoding="utf-8"?>
<calcChain xmlns="http://schemas.openxmlformats.org/spreadsheetml/2006/main">
  <c r="Q154" i="3" l="1"/>
  <c r="F110" i="5" l="1"/>
  <c r="F109" i="5"/>
  <c r="F108" i="5"/>
  <c r="F107" i="5"/>
  <c r="F106" i="5"/>
  <c r="F105" i="5"/>
  <c r="F104" i="5"/>
  <c r="F103" i="5"/>
  <c r="F102" i="5"/>
  <c r="E110" i="5"/>
  <c r="E109" i="5"/>
  <c r="E108" i="5"/>
  <c r="E107" i="5"/>
  <c r="E106" i="5"/>
  <c r="E105" i="5"/>
  <c r="E104" i="5"/>
  <c r="E103" i="5"/>
  <c r="E102" i="5"/>
  <c r="E101" i="5"/>
  <c r="B110" i="5"/>
  <c r="B109" i="5"/>
  <c r="B108" i="5"/>
  <c r="B107" i="5"/>
  <c r="B106" i="5"/>
  <c r="B105" i="5"/>
  <c r="B104" i="5"/>
  <c r="B103" i="5"/>
  <c r="B102" i="5"/>
  <c r="C122" i="5"/>
  <c r="B8" i="2"/>
  <c r="U33" i="2"/>
  <c r="HL34" i="4"/>
  <c r="HM34" i="4"/>
  <c r="HN34" i="4"/>
  <c r="HO34" i="4"/>
  <c r="HP34" i="4"/>
  <c r="HQ34" i="4"/>
  <c r="HR34" i="4"/>
  <c r="HS34" i="4"/>
  <c r="HT34" i="4"/>
  <c r="HU34" i="4"/>
  <c r="HV34" i="4"/>
  <c r="HW34" i="4"/>
  <c r="HW35" i="4" s="1"/>
  <c r="HW36" i="4" s="1"/>
  <c r="HW37" i="4" s="1"/>
  <c r="HW38" i="4" s="1"/>
  <c r="HW39" i="4" s="1"/>
  <c r="HW40" i="4" s="1"/>
  <c r="HW41" i="4" s="1"/>
  <c r="HW42" i="4" s="1"/>
  <c r="HW43" i="4" s="1"/>
  <c r="HW44" i="4" s="1"/>
  <c r="HW45" i="4" s="1"/>
  <c r="HW46" i="4" s="1"/>
  <c r="HW47" i="4" s="1"/>
  <c r="HW48" i="4" s="1"/>
  <c r="HW49" i="4" s="1"/>
  <c r="HW50" i="4" s="1"/>
  <c r="HW51" i="4" s="1"/>
  <c r="HW52" i="4" s="1"/>
  <c r="HW53" i="4" s="1"/>
  <c r="HW54" i="4" s="1"/>
  <c r="HW55" i="4" s="1"/>
  <c r="HW56" i="4" s="1"/>
  <c r="HW57" i="4" s="1"/>
  <c r="HW58" i="4" s="1"/>
  <c r="HW59" i="4" s="1"/>
  <c r="HW60" i="4" s="1"/>
  <c r="HW61" i="4" s="1"/>
  <c r="HW62" i="4" s="1"/>
  <c r="HW63" i="4" s="1"/>
  <c r="HW64" i="4" s="1"/>
  <c r="HW65" i="4" s="1"/>
  <c r="HW66" i="4" s="1"/>
  <c r="HW67" i="4" s="1"/>
  <c r="HW68" i="4" s="1"/>
  <c r="HW69" i="4" s="1"/>
  <c r="HW70" i="4" s="1"/>
  <c r="HW71" i="4" s="1"/>
  <c r="HW72" i="4" s="1"/>
  <c r="HW73" i="4" s="1"/>
  <c r="HW74" i="4" s="1"/>
  <c r="HW75" i="4" s="1"/>
  <c r="HW76" i="4" s="1"/>
  <c r="HW77" i="4" s="1"/>
  <c r="HW78" i="4" s="1"/>
  <c r="HW79" i="4" s="1"/>
  <c r="HW80" i="4" s="1"/>
  <c r="HW81" i="4" s="1"/>
  <c r="HW82" i="4" s="1"/>
  <c r="HW83" i="4" s="1"/>
  <c r="HW84" i="4" s="1"/>
  <c r="HW85" i="4" s="1"/>
  <c r="HW86" i="4" s="1"/>
  <c r="HW87" i="4" s="1"/>
  <c r="HW88" i="4" s="1"/>
  <c r="HW89" i="4" s="1"/>
  <c r="HW90" i="4" s="1"/>
  <c r="HW91" i="4" s="1"/>
  <c r="HW92" i="4" s="1"/>
  <c r="HW93" i="4" s="1"/>
  <c r="HW94" i="4" s="1"/>
  <c r="HW95" i="4" s="1"/>
  <c r="HW96" i="4" s="1"/>
  <c r="HW97" i="4" s="1"/>
  <c r="HW98" i="4" s="1"/>
  <c r="HW99" i="4" s="1"/>
  <c r="HW100" i="4" s="1"/>
  <c r="HW101" i="4" s="1"/>
  <c r="HW102" i="4" s="1"/>
  <c r="HW103" i="4" s="1"/>
  <c r="HW104" i="4" s="1"/>
  <c r="HW105" i="4" s="1"/>
  <c r="HW106" i="4" s="1"/>
  <c r="HW107" i="4" s="1"/>
  <c r="HW108" i="4" s="1"/>
  <c r="HW109" i="4" s="1"/>
  <c r="HW110" i="4" s="1"/>
  <c r="HW111" i="4" s="1"/>
  <c r="HW112" i="4" s="1"/>
  <c r="HW113" i="4" s="1"/>
  <c r="HW114" i="4" s="1"/>
  <c r="HW115" i="4" s="1"/>
  <c r="HW116" i="4" s="1"/>
  <c r="HW117" i="4" s="1"/>
  <c r="HW118" i="4" s="1"/>
  <c r="HW119" i="4" s="1"/>
  <c r="HW120" i="4" s="1"/>
  <c r="HW121" i="4" s="1"/>
  <c r="HW122" i="4" s="1"/>
  <c r="HW123" i="4" s="1"/>
  <c r="HW124" i="4" s="1"/>
  <c r="HW125" i="4" s="1"/>
  <c r="HW126" i="4" s="1"/>
  <c r="HW127" i="4" s="1"/>
  <c r="HW128" i="4" s="1"/>
  <c r="HW129" i="4" s="1"/>
  <c r="HW130" i="4" s="1"/>
  <c r="HW131" i="4" s="1"/>
  <c r="HW132" i="4" s="1"/>
  <c r="HW133" i="4" s="1"/>
  <c r="HW134" i="4" s="1"/>
  <c r="HW135" i="4" s="1"/>
  <c r="HW136" i="4" s="1"/>
  <c r="HW137" i="4" s="1"/>
  <c r="HW138" i="4" s="1"/>
  <c r="HW139" i="4" s="1"/>
  <c r="HW140" i="4" s="1"/>
  <c r="HW141" i="4" s="1"/>
  <c r="HW142" i="4" s="1"/>
  <c r="HW143" i="4" s="1"/>
  <c r="HW144" i="4" s="1"/>
  <c r="HW145" i="4" s="1"/>
  <c r="HW146" i="4" s="1"/>
  <c r="HW147" i="4" s="1"/>
  <c r="HW148" i="4" s="1"/>
  <c r="HW149" i="4" s="1"/>
  <c r="HW150" i="4" s="1"/>
  <c r="HW151" i="4" s="1"/>
  <c r="HW152" i="4" s="1"/>
  <c r="HW153" i="4" s="1"/>
  <c r="HW154" i="4" s="1"/>
  <c r="HW155" i="4" s="1"/>
  <c r="HW156" i="4" s="1"/>
  <c r="HW157" i="4" s="1"/>
  <c r="HW158" i="4" s="1"/>
  <c r="HW159" i="4" s="1"/>
  <c r="HW160" i="4" s="1"/>
  <c r="HW161" i="4" s="1"/>
  <c r="HW162" i="4" s="1"/>
  <c r="HW163" i="4" s="1"/>
  <c r="HW164" i="4" s="1"/>
  <c r="HW165" i="4" s="1"/>
  <c r="HW166" i="4" s="1"/>
  <c r="HW167" i="4" s="1"/>
  <c r="HW168" i="4" s="1"/>
  <c r="HW169" i="4" s="1"/>
  <c r="HW170" i="4" s="1"/>
  <c r="HW171" i="4" s="1"/>
  <c r="HW172" i="4" s="1"/>
  <c r="HW173" i="4" s="1"/>
  <c r="HW174" i="4" s="1"/>
  <c r="HW175" i="4" s="1"/>
  <c r="HW176" i="4" s="1"/>
  <c r="HW177" i="4" s="1"/>
  <c r="HW178" i="4" s="1"/>
  <c r="HW179" i="4" s="1"/>
  <c r="HW180" i="4" s="1"/>
  <c r="HW181" i="4" s="1"/>
  <c r="HW182" i="4" s="1"/>
  <c r="HW183" i="4" s="1"/>
  <c r="HW184" i="4" s="1"/>
  <c r="HW185" i="4" s="1"/>
  <c r="HW186" i="4" s="1"/>
  <c r="HW187" i="4" s="1"/>
  <c r="HW188" i="4" s="1"/>
  <c r="HW189" i="4" s="1"/>
  <c r="HW190" i="4" s="1"/>
  <c r="HW191" i="4" s="1"/>
  <c r="HW192" i="4" s="1"/>
  <c r="HW193" i="4" s="1"/>
  <c r="HW194" i="4" s="1"/>
  <c r="HW195" i="4" s="1"/>
  <c r="HW196" i="4" s="1"/>
  <c r="HW197" i="4" s="1"/>
  <c r="HW198" i="4" s="1"/>
  <c r="HW199" i="4" s="1"/>
  <c r="HW200" i="4" s="1"/>
  <c r="HW201" i="4" s="1"/>
  <c r="HW202" i="4" s="1"/>
  <c r="HX34" i="4"/>
  <c r="HY34" i="4"/>
  <c r="HZ34" i="4"/>
  <c r="IA34" i="4"/>
  <c r="IB34" i="4"/>
  <c r="IC34" i="4"/>
  <c r="ID34" i="4"/>
  <c r="IE34" i="4"/>
  <c r="IF34" i="4"/>
  <c r="IG34" i="4"/>
  <c r="IH34" i="4"/>
  <c r="II34" i="4"/>
  <c r="HL35" i="4"/>
  <c r="HM35" i="4"/>
  <c r="HN35" i="4"/>
  <c r="HO35" i="4"/>
  <c r="HP35" i="4"/>
  <c r="HQ35" i="4"/>
  <c r="HR35" i="4"/>
  <c r="HS35" i="4"/>
  <c r="HT35" i="4"/>
  <c r="HU35" i="4"/>
  <c r="HV35" i="4"/>
  <c r="HX35" i="4"/>
  <c r="HY35" i="4"/>
  <c r="HZ35" i="4"/>
  <c r="IA35" i="4"/>
  <c r="IB35" i="4"/>
  <c r="IC35" i="4"/>
  <c r="ID35" i="4"/>
  <c r="IE35" i="4"/>
  <c r="IF35" i="4"/>
  <c r="IG35" i="4"/>
  <c r="IH35" i="4"/>
  <c r="II35" i="4"/>
  <c r="II36" i="4" s="1"/>
  <c r="II37" i="4" s="1"/>
  <c r="II38" i="4" s="1"/>
  <c r="II39" i="4" s="1"/>
  <c r="II40" i="4" s="1"/>
  <c r="II41" i="4" s="1"/>
  <c r="II42" i="4" s="1"/>
  <c r="II43" i="4" s="1"/>
  <c r="II44" i="4" s="1"/>
  <c r="II45" i="4" s="1"/>
  <c r="II46" i="4" s="1"/>
  <c r="II47" i="4" s="1"/>
  <c r="II48" i="4" s="1"/>
  <c r="II49" i="4" s="1"/>
  <c r="II50" i="4" s="1"/>
  <c r="II51" i="4" s="1"/>
  <c r="II52" i="4" s="1"/>
  <c r="II53" i="4" s="1"/>
  <c r="II54" i="4" s="1"/>
  <c r="II55" i="4" s="1"/>
  <c r="II56" i="4" s="1"/>
  <c r="II57" i="4" s="1"/>
  <c r="II58" i="4" s="1"/>
  <c r="II59" i="4" s="1"/>
  <c r="II60" i="4" s="1"/>
  <c r="II61" i="4" s="1"/>
  <c r="II62" i="4" s="1"/>
  <c r="II63" i="4" s="1"/>
  <c r="II64" i="4" s="1"/>
  <c r="II65" i="4" s="1"/>
  <c r="II66" i="4" s="1"/>
  <c r="II67" i="4" s="1"/>
  <c r="II68" i="4" s="1"/>
  <c r="II69" i="4" s="1"/>
  <c r="II70" i="4" s="1"/>
  <c r="II71" i="4" s="1"/>
  <c r="II72" i="4" s="1"/>
  <c r="II73" i="4" s="1"/>
  <c r="II74" i="4" s="1"/>
  <c r="II75" i="4" s="1"/>
  <c r="II76" i="4" s="1"/>
  <c r="II77" i="4" s="1"/>
  <c r="II78" i="4" s="1"/>
  <c r="II79" i="4" s="1"/>
  <c r="II80" i="4" s="1"/>
  <c r="II81" i="4" s="1"/>
  <c r="II82" i="4" s="1"/>
  <c r="II83" i="4" s="1"/>
  <c r="II84" i="4" s="1"/>
  <c r="II85" i="4" s="1"/>
  <c r="II86" i="4" s="1"/>
  <c r="II87" i="4" s="1"/>
  <c r="II88" i="4" s="1"/>
  <c r="II89" i="4" s="1"/>
  <c r="II90" i="4" s="1"/>
  <c r="II91" i="4" s="1"/>
  <c r="II92" i="4" s="1"/>
  <c r="II93" i="4" s="1"/>
  <c r="II94" i="4" s="1"/>
  <c r="II95" i="4" s="1"/>
  <c r="II96" i="4" s="1"/>
  <c r="II97" i="4" s="1"/>
  <c r="II98" i="4" s="1"/>
  <c r="II99" i="4" s="1"/>
  <c r="II100" i="4" s="1"/>
  <c r="II101" i="4" s="1"/>
  <c r="II102" i="4" s="1"/>
  <c r="II103" i="4" s="1"/>
  <c r="II104" i="4" s="1"/>
  <c r="II105" i="4" s="1"/>
  <c r="II106" i="4" s="1"/>
  <c r="II107" i="4" s="1"/>
  <c r="II108" i="4" s="1"/>
  <c r="II109" i="4" s="1"/>
  <c r="II110" i="4" s="1"/>
  <c r="II111" i="4" s="1"/>
  <c r="II112" i="4" s="1"/>
  <c r="II113" i="4" s="1"/>
  <c r="II114" i="4" s="1"/>
  <c r="II115" i="4" s="1"/>
  <c r="II116" i="4" s="1"/>
  <c r="II117" i="4" s="1"/>
  <c r="II118" i="4" s="1"/>
  <c r="II119" i="4" s="1"/>
  <c r="II120" i="4" s="1"/>
  <c r="II121" i="4" s="1"/>
  <c r="II122" i="4" s="1"/>
  <c r="II123" i="4" s="1"/>
  <c r="II124" i="4" s="1"/>
  <c r="II125" i="4" s="1"/>
  <c r="II126" i="4" s="1"/>
  <c r="II127" i="4" s="1"/>
  <c r="II128" i="4" s="1"/>
  <c r="II129" i="4" s="1"/>
  <c r="II130" i="4" s="1"/>
  <c r="II131" i="4" s="1"/>
  <c r="II132" i="4" s="1"/>
  <c r="II133" i="4" s="1"/>
  <c r="II134" i="4" s="1"/>
  <c r="II135" i="4" s="1"/>
  <c r="II136" i="4" s="1"/>
  <c r="II137" i="4" s="1"/>
  <c r="II138" i="4" s="1"/>
  <c r="II139" i="4" s="1"/>
  <c r="II140" i="4" s="1"/>
  <c r="II141" i="4" s="1"/>
  <c r="II142" i="4" s="1"/>
  <c r="II143" i="4" s="1"/>
  <c r="II144" i="4" s="1"/>
  <c r="II145" i="4" s="1"/>
  <c r="II146" i="4" s="1"/>
  <c r="II147" i="4" s="1"/>
  <c r="II148" i="4" s="1"/>
  <c r="II149" i="4" s="1"/>
  <c r="II150" i="4" s="1"/>
  <c r="II151" i="4" s="1"/>
  <c r="II152" i="4" s="1"/>
  <c r="II153" i="4" s="1"/>
  <c r="II154" i="4" s="1"/>
  <c r="II155" i="4" s="1"/>
  <c r="II156" i="4" s="1"/>
  <c r="II157" i="4" s="1"/>
  <c r="II158" i="4" s="1"/>
  <c r="II159" i="4" s="1"/>
  <c r="II160" i="4" s="1"/>
  <c r="II161" i="4" s="1"/>
  <c r="II162" i="4" s="1"/>
  <c r="II163" i="4" s="1"/>
  <c r="II164" i="4" s="1"/>
  <c r="II165" i="4" s="1"/>
  <c r="II166" i="4" s="1"/>
  <c r="II167" i="4" s="1"/>
  <c r="II168" i="4" s="1"/>
  <c r="II169" i="4" s="1"/>
  <c r="II170" i="4" s="1"/>
  <c r="II171" i="4" s="1"/>
  <c r="II172" i="4" s="1"/>
  <c r="II173" i="4" s="1"/>
  <c r="II174" i="4" s="1"/>
  <c r="II175" i="4" s="1"/>
  <c r="II176" i="4" s="1"/>
  <c r="II177" i="4" s="1"/>
  <c r="II178" i="4" s="1"/>
  <c r="II179" i="4" s="1"/>
  <c r="II180" i="4" s="1"/>
  <c r="II181" i="4" s="1"/>
  <c r="II182" i="4" s="1"/>
  <c r="II183" i="4" s="1"/>
  <c r="II184" i="4" s="1"/>
  <c r="II185" i="4" s="1"/>
  <c r="II186" i="4" s="1"/>
  <c r="II187" i="4" s="1"/>
  <c r="II188" i="4" s="1"/>
  <c r="II189" i="4" s="1"/>
  <c r="II190" i="4" s="1"/>
  <c r="II191" i="4" s="1"/>
  <c r="II192" i="4" s="1"/>
  <c r="II193" i="4" s="1"/>
  <c r="II194" i="4" s="1"/>
  <c r="II195" i="4" s="1"/>
  <c r="II196" i="4" s="1"/>
  <c r="II197" i="4" s="1"/>
  <c r="II198" i="4" s="1"/>
  <c r="II199" i="4" s="1"/>
  <c r="II200" i="4" s="1"/>
  <c r="II201" i="4" s="1"/>
  <c r="II202" i="4" s="1"/>
  <c r="HL36" i="4"/>
  <c r="HM36" i="4"/>
  <c r="HN36" i="4"/>
  <c r="HO36" i="4"/>
  <c r="HP36" i="4"/>
  <c r="HQ36" i="4"/>
  <c r="HR36" i="4"/>
  <c r="HS36" i="4"/>
  <c r="HT36" i="4"/>
  <c r="HU36" i="4"/>
  <c r="HV36" i="4"/>
  <c r="HX36" i="4"/>
  <c r="HY36" i="4"/>
  <c r="HZ36" i="4"/>
  <c r="IA36" i="4"/>
  <c r="IB36" i="4"/>
  <c r="IC36" i="4"/>
  <c r="ID36" i="4"/>
  <c r="IE36" i="4"/>
  <c r="IF36" i="4"/>
  <c r="IG36" i="4"/>
  <c r="IH36" i="4"/>
  <c r="HL37" i="4"/>
  <c r="HM37" i="4"/>
  <c r="HN37" i="4"/>
  <c r="HO37" i="4"/>
  <c r="HP37" i="4"/>
  <c r="HQ37" i="4"/>
  <c r="HR37" i="4"/>
  <c r="HS37" i="4"/>
  <c r="HT37" i="4"/>
  <c r="HU37" i="4"/>
  <c r="HV37" i="4"/>
  <c r="HX37" i="4"/>
  <c r="HY37" i="4"/>
  <c r="HZ37" i="4"/>
  <c r="IA37" i="4"/>
  <c r="IB37" i="4"/>
  <c r="IC37" i="4"/>
  <c r="ID37" i="4"/>
  <c r="IE37" i="4"/>
  <c r="IF37" i="4"/>
  <c r="IG37" i="4"/>
  <c r="IH37" i="4"/>
  <c r="HL38" i="4"/>
  <c r="HM38" i="4"/>
  <c r="HN38" i="4"/>
  <c r="HO38" i="4"/>
  <c r="HP38" i="4"/>
  <c r="HQ38" i="4"/>
  <c r="HR38" i="4"/>
  <c r="HS38" i="4"/>
  <c r="HT38" i="4"/>
  <c r="HU38" i="4"/>
  <c r="HV38" i="4"/>
  <c r="HX38" i="4"/>
  <c r="HY38" i="4"/>
  <c r="HZ38" i="4"/>
  <c r="IA38" i="4"/>
  <c r="IB38" i="4"/>
  <c r="IC38" i="4"/>
  <c r="ID38" i="4"/>
  <c r="IE38" i="4"/>
  <c r="IF38" i="4"/>
  <c r="IG38" i="4"/>
  <c r="IH38" i="4"/>
  <c r="HL39" i="4"/>
  <c r="HM39" i="4"/>
  <c r="HN39" i="4"/>
  <c r="HO39" i="4"/>
  <c r="HP39" i="4"/>
  <c r="HQ39" i="4"/>
  <c r="HR39" i="4"/>
  <c r="HS39" i="4"/>
  <c r="HT39" i="4"/>
  <c r="HU39" i="4"/>
  <c r="HV39" i="4"/>
  <c r="HX39" i="4"/>
  <c r="HY39" i="4"/>
  <c r="HZ39" i="4"/>
  <c r="IA39" i="4"/>
  <c r="IB39" i="4"/>
  <c r="IC39" i="4"/>
  <c r="ID39" i="4"/>
  <c r="IE39" i="4"/>
  <c r="IF39" i="4"/>
  <c r="IG39" i="4"/>
  <c r="IH39" i="4"/>
  <c r="HL40" i="4"/>
  <c r="HM40" i="4"/>
  <c r="HN40" i="4"/>
  <c r="HO40" i="4"/>
  <c r="HP40" i="4"/>
  <c r="HQ40" i="4"/>
  <c r="HR40" i="4"/>
  <c r="HS40" i="4"/>
  <c r="HT40" i="4"/>
  <c r="HU40" i="4"/>
  <c r="HV40" i="4"/>
  <c r="HX40" i="4"/>
  <c r="HY40" i="4"/>
  <c r="HZ40" i="4"/>
  <c r="IA40" i="4"/>
  <c r="IB40" i="4"/>
  <c r="IC40" i="4"/>
  <c r="ID40" i="4"/>
  <c r="IE40" i="4"/>
  <c r="IF40" i="4"/>
  <c r="IG40" i="4"/>
  <c r="IH40" i="4"/>
  <c r="HL41" i="4"/>
  <c r="HM41" i="4"/>
  <c r="HN41" i="4"/>
  <c r="HO41" i="4"/>
  <c r="HP41" i="4"/>
  <c r="HQ41" i="4"/>
  <c r="HR41" i="4"/>
  <c r="HS41" i="4"/>
  <c r="HT41" i="4"/>
  <c r="HU41" i="4"/>
  <c r="HV41" i="4"/>
  <c r="HX41" i="4"/>
  <c r="HY41" i="4"/>
  <c r="HZ41" i="4"/>
  <c r="IA41" i="4"/>
  <c r="IB41" i="4"/>
  <c r="IC41" i="4"/>
  <c r="ID41" i="4"/>
  <c r="IE41" i="4"/>
  <c r="IF41" i="4"/>
  <c r="IG41" i="4"/>
  <c r="IH41" i="4"/>
  <c r="HL42" i="4"/>
  <c r="HM42" i="4"/>
  <c r="HN42" i="4"/>
  <c r="HO42" i="4"/>
  <c r="HP42" i="4"/>
  <c r="HQ42" i="4"/>
  <c r="HR42" i="4"/>
  <c r="HS42" i="4"/>
  <c r="HT42" i="4"/>
  <c r="HU42" i="4"/>
  <c r="HV42" i="4"/>
  <c r="HX42" i="4"/>
  <c r="HY42" i="4"/>
  <c r="HZ42" i="4"/>
  <c r="IA42" i="4"/>
  <c r="IB42" i="4"/>
  <c r="IC42" i="4"/>
  <c r="ID42" i="4"/>
  <c r="IE42" i="4"/>
  <c r="IF42" i="4"/>
  <c r="IG42" i="4"/>
  <c r="IH42" i="4"/>
  <c r="HL43" i="4"/>
  <c r="HM43" i="4"/>
  <c r="HN43" i="4"/>
  <c r="HO43" i="4"/>
  <c r="HP43" i="4"/>
  <c r="HQ43" i="4"/>
  <c r="HR43" i="4"/>
  <c r="HS43" i="4"/>
  <c r="HT43" i="4"/>
  <c r="HU43" i="4"/>
  <c r="HV43" i="4"/>
  <c r="HX43" i="4"/>
  <c r="HY43" i="4"/>
  <c r="HZ43" i="4"/>
  <c r="IA43" i="4"/>
  <c r="IB43" i="4"/>
  <c r="IC43" i="4"/>
  <c r="ID43" i="4"/>
  <c r="IE43" i="4"/>
  <c r="IF43" i="4"/>
  <c r="IG43" i="4"/>
  <c r="IH43" i="4"/>
  <c r="HL44" i="4"/>
  <c r="HM44" i="4"/>
  <c r="HN44" i="4"/>
  <c r="HO44" i="4"/>
  <c r="HP44" i="4"/>
  <c r="HQ44" i="4"/>
  <c r="HR44" i="4"/>
  <c r="HS44" i="4"/>
  <c r="HT44" i="4"/>
  <c r="HU44" i="4"/>
  <c r="HV44" i="4"/>
  <c r="HX44" i="4"/>
  <c r="HY44" i="4"/>
  <c r="HZ44" i="4"/>
  <c r="IA44" i="4"/>
  <c r="IB44" i="4"/>
  <c r="IC44" i="4"/>
  <c r="ID44" i="4"/>
  <c r="IE44" i="4"/>
  <c r="IF44" i="4"/>
  <c r="IG44" i="4"/>
  <c r="IH44" i="4"/>
  <c r="HL45" i="4"/>
  <c r="HM45" i="4"/>
  <c r="HN45" i="4"/>
  <c r="HO45" i="4"/>
  <c r="HP45" i="4"/>
  <c r="HQ45" i="4"/>
  <c r="HR45" i="4"/>
  <c r="HS45" i="4"/>
  <c r="HT45" i="4"/>
  <c r="HU45" i="4"/>
  <c r="HV45" i="4"/>
  <c r="HX45" i="4"/>
  <c r="HY45" i="4"/>
  <c r="HZ45" i="4"/>
  <c r="IA45" i="4"/>
  <c r="IB45" i="4"/>
  <c r="IC45" i="4"/>
  <c r="ID45" i="4"/>
  <c r="IE45" i="4"/>
  <c r="IF45" i="4"/>
  <c r="IG45" i="4"/>
  <c r="IH45" i="4"/>
  <c r="HL46" i="4"/>
  <c r="HM46" i="4"/>
  <c r="HN46" i="4"/>
  <c r="HO46" i="4"/>
  <c r="HP46" i="4"/>
  <c r="HQ46" i="4"/>
  <c r="HR46" i="4"/>
  <c r="HS46" i="4"/>
  <c r="HT46" i="4"/>
  <c r="HU46" i="4"/>
  <c r="HV46" i="4"/>
  <c r="HX46" i="4"/>
  <c r="HY46" i="4"/>
  <c r="HZ46" i="4"/>
  <c r="IA46" i="4"/>
  <c r="IB46" i="4"/>
  <c r="IC46" i="4"/>
  <c r="ID46" i="4"/>
  <c r="IE46" i="4"/>
  <c r="IF46" i="4"/>
  <c r="IG46" i="4"/>
  <c r="IH46" i="4"/>
  <c r="HL47" i="4"/>
  <c r="HM47" i="4"/>
  <c r="HN47" i="4"/>
  <c r="HO47" i="4"/>
  <c r="HP47" i="4"/>
  <c r="HQ47" i="4"/>
  <c r="HR47" i="4"/>
  <c r="HS47" i="4"/>
  <c r="HT47" i="4"/>
  <c r="HU47" i="4"/>
  <c r="HV47" i="4"/>
  <c r="HX47" i="4"/>
  <c r="HY47" i="4"/>
  <c r="HZ47" i="4"/>
  <c r="IA47" i="4"/>
  <c r="IB47" i="4"/>
  <c r="IC47" i="4"/>
  <c r="ID47" i="4"/>
  <c r="IE47" i="4"/>
  <c r="IF47" i="4"/>
  <c r="IG47" i="4"/>
  <c r="IH47" i="4"/>
  <c r="HL48" i="4"/>
  <c r="HM48" i="4"/>
  <c r="HN48" i="4"/>
  <c r="HO48" i="4"/>
  <c r="HP48" i="4"/>
  <c r="HQ48" i="4"/>
  <c r="HR48" i="4"/>
  <c r="HS48" i="4"/>
  <c r="HT48" i="4"/>
  <c r="HU48" i="4"/>
  <c r="HV48" i="4"/>
  <c r="HX48" i="4"/>
  <c r="HY48" i="4"/>
  <c r="HZ48" i="4"/>
  <c r="IA48" i="4"/>
  <c r="IB48" i="4"/>
  <c r="IC48" i="4"/>
  <c r="ID48" i="4"/>
  <c r="IE48" i="4"/>
  <c r="IF48" i="4"/>
  <c r="IG48" i="4"/>
  <c r="IH48" i="4"/>
  <c r="HL49" i="4"/>
  <c r="HM49" i="4"/>
  <c r="HN49" i="4"/>
  <c r="HO49" i="4"/>
  <c r="HP49" i="4"/>
  <c r="HQ49" i="4"/>
  <c r="HR49" i="4"/>
  <c r="HS49" i="4"/>
  <c r="HT49" i="4"/>
  <c r="HU49" i="4"/>
  <c r="HV49" i="4"/>
  <c r="HX49" i="4"/>
  <c r="HY49" i="4"/>
  <c r="HZ49" i="4"/>
  <c r="IA49" i="4"/>
  <c r="IB49" i="4"/>
  <c r="IC49" i="4"/>
  <c r="ID49" i="4"/>
  <c r="IE49" i="4"/>
  <c r="IF49" i="4"/>
  <c r="IG49" i="4"/>
  <c r="IH49" i="4"/>
  <c r="HL50" i="4"/>
  <c r="HM50" i="4"/>
  <c r="HN50" i="4"/>
  <c r="HO50" i="4"/>
  <c r="HP50" i="4"/>
  <c r="HQ50" i="4"/>
  <c r="HR50" i="4"/>
  <c r="HS50" i="4"/>
  <c r="HT50" i="4"/>
  <c r="HU50" i="4"/>
  <c r="HV50" i="4"/>
  <c r="HX50" i="4"/>
  <c r="HY50" i="4"/>
  <c r="HZ50" i="4"/>
  <c r="IA50" i="4"/>
  <c r="IB50" i="4"/>
  <c r="IC50" i="4"/>
  <c r="ID50" i="4"/>
  <c r="IE50" i="4"/>
  <c r="IF50" i="4"/>
  <c r="IG50" i="4"/>
  <c r="IH50" i="4"/>
  <c r="HL51" i="4"/>
  <c r="HM51" i="4"/>
  <c r="HN51" i="4"/>
  <c r="HO51" i="4"/>
  <c r="HP51" i="4"/>
  <c r="HQ51" i="4"/>
  <c r="HR51" i="4"/>
  <c r="HS51" i="4"/>
  <c r="HT51" i="4"/>
  <c r="HU51" i="4"/>
  <c r="HV51" i="4"/>
  <c r="HX51" i="4"/>
  <c r="HY51" i="4"/>
  <c r="HZ51" i="4"/>
  <c r="IA51" i="4"/>
  <c r="IB51" i="4"/>
  <c r="IC51" i="4"/>
  <c r="ID51" i="4"/>
  <c r="IE51" i="4"/>
  <c r="IF51" i="4"/>
  <c r="IG51" i="4"/>
  <c r="IH51" i="4"/>
  <c r="HL52" i="4"/>
  <c r="HM52" i="4"/>
  <c r="HN52" i="4"/>
  <c r="HO52" i="4"/>
  <c r="HP52" i="4"/>
  <c r="HQ52" i="4"/>
  <c r="HR52" i="4"/>
  <c r="HS52" i="4"/>
  <c r="HT52" i="4"/>
  <c r="HU52" i="4"/>
  <c r="HV52" i="4"/>
  <c r="HX52" i="4"/>
  <c r="HY52" i="4"/>
  <c r="HZ52" i="4"/>
  <c r="IA52" i="4"/>
  <c r="IB52" i="4"/>
  <c r="IC52" i="4"/>
  <c r="ID52" i="4"/>
  <c r="IE52" i="4"/>
  <c r="IF52" i="4"/>
  <c r="IG52" i="4"/>
  <c r="IH52" i="4"/>
  <c r="HL53" i="4"/>
  <c r="HM53" i="4"/>
  <c r="HN53" i="4"/>
  <c r="HO53" i="4"/>
  <c r="HP53" i="4"/>
  <c r="HQ53" i="4"/>
  <c r="HR53" i="4"/>
  <c r="HS53" i="4"/>
  <c r="HT53" i="4"/>
  <c r="HU53" i="4"/>
  <c r="HV53" i="4"/>
  <c r="HV54" i="4" s="1"/>
  <c r="HV55" i="4" s="1"/>
  <c r="HV56" i="4" s="1"/>
  <c r="HV57" i="4" s="1"/>
  <c r="HV58" i="4" s="1"/>
  <c r="HV59" i="4" s="1"/>
  <c r="HV60" i="4" s="1"/>
  <c r="HV61" i="4" s="1"/>
  <c r="HV62" i="4" s="1"/>
  <c r="HV63" i="4" s="1"/>
  <c r="HV64" i="4" s="1"/>
  <c r="HV65" i="4" s="1"/>
  <c r="HV66" i="4" s="1"/>
  <c r="HV67" i="4" s="1"/>
  <c r="HV68" i="4" s="1"/>
  <c r="HV69" i="4" s="1"/>
  <c r="HV70" i="4" s="1"/>
  <c r="HV71" i="4" s="1"/>
  <c r="HV72" i="4" s="1"/>
  <c r="HV73" i="4" s="1"/>
  <c r="HV74" i="4" s="1"/>
  <c r="HV75" i="4" s="1"/>
  <c r="HV76" i="4" s="1"/>
  <c r="HV77" i="4" s="1"/>
  <c r="HV78" i="4" s="1"/>
  <c r="HV79" i="4" s="1"/>
  <c r="HV80" i="4" s="1"/>
  <c r="HV81" i="4" s="1"/>
  <c r="HV82" i="4" s="1"/>
  <c r="HV83" i="4" s="1"/>
  <c r="HV84" i="4" s="1"/>
  <c r="HV85" i="4" s="1"/>
  <c r="HV86" i="4" s="1"/>
  <c r="HV87" i="4" s="1"/>
  <c r="HV88" i="4" s="1"/>
  <c r="HV89" i="4" s="1"/>
  <c r="HV90" i="4" s="1"/>
  <c r="HV91" i="4" s="1"/>
  <c r="HV92" i="4" s="1"/>
  <c r="HV93" i="4" s="1"/>
  <c r="HV94" i="4" s="1"/>
  <c r="HV95" i="4" s="1"/>
  <c r="HV96" i="4" s="1"/>
  <c r="HV97" i="4" s="1"/>
  <c r="HV98" i="4" s="1"/>
  <c r="HV99" i="4" s="1"/>
  <c r="HV100" i="4" s="1"/>
  <c r="HV101" i="4" s="1"/>
  <c r="HV102" i="4" s="1"/>
  <c r="HV103" i="4" s="1"/>
  <c r="HV104" i="4" s="1"/>
  <c r="HV105" i="4" s="1"/>
  <c r="HV106" i="4" s="1"/>
  <c r="HV107" i="4" s="1"/>
  <c r="HV108" i="4" s="1"/>
  <c r="HV109" i="4" s="1"/>
  <c r="HV110" i="4" s="1"/>
  <c r="HV111" i="4" s="1"/>
  <c r="HV112" i="4" s="1"/>
  <c r="HV113" i="4" s="1"/>
  <c r="HV114" i="4" s="1"/>
  <c r="HV115" i="4" s="1"/>
  <c r="HV116" i="4" s="1"/>
  <c r="HV117" i="4" s="1"/>
  <c r="HV118" i="4" s="1"/>
  <c r="HV119" i="4" s="1"/>
  <c r="HV120" i="4" s="1"/>
  <c r="HV121" i="4" s="1"/>
  <c r="HV122" i="4" s="1"/>
  <c r="HV123" i="4" s="1"/>
  <c r="HV124" i="4" s="1"/>
  <c r="HV125" i="4" s="1"/>
  <c r="HV126" i="4" s="1"/>
  <c r="HV127" i="4" s="1"/>
  <c r="HV128" i="4" s="1"/>
  <c r="HV129" i="4" s="1"/>
  <c r="HV130" i="4" s="1"/>
  <c r="HV131" i="4" s="1"/>
  <c r="HV132" i="4" s="1"/>
  <c r="HV133" i="4" s="1"/>
  <c r="HV134" i="4" s="1"/>
  <c r="HV135" i="4" s="1"/>
  <c r="HV136" i="4" s="1"/>
  <c r="HV137" i="4" s="1"/>
  <c r="HV138" i="4" s="1"/>
  <c r="HV139" i="4" s="1"/>
  <c r="HV140" i="4" s="1"/>
  <c r="HV141" i="4" s="1"/>
  <c r="HV142" i="4" s="1"/>
  <c r="HV143" i="4" s="1"/>
  <c r="HV144" i="4" s="1"/>
  <c r="HV145" i="4" s="1"/>
  <c r="HV146" i="4" s="1"/>
  <c r="HV147" i="4" s="1"/>
  <c r="HV148" i="4" s="1"/>
  <c r="HV149" i="4" s="1"/>
  <c r="HV150" i="4" s="1"/>
  <c r="HV151" i="4" s="1"/>
  <c r="HV152" i="4" s="1"/>
  <c r="HV153" i="4" s="1"/>
  <c r="HV154" i="4" s="1"/>
  <c r="HV155" i="4" s="1"/>
  <c r="HV156" i="4" s="1"/>
  <c r="HV157" i="4" s="1"/>
  <c r="HV158" i="4" s="1"/>
  <c r="HV159" i="4" s="1"/>
  <c r="HV160" i="4" s="1"/>
  <c r="HV161" i="4" s="1"/>
  <c r="HV162" i="4" s="1"/>
  <c r="HV163" i="4" s="1"/>
  <c r="HV164" i="4" s="1"/>
  <c r="HV165" i="4" s="1"/>
  <c r="HV166" i="4" s="1"/>
  <c r="HV167" i="4" s="1"/>
  <c r="HV168" i="4" s="1"/>
  <c r="HV169" i="4" s="1"/>
  <c r="HV170" i="4" s="1"/>
  <c r="HV171" i="4" s="1"/>
  <c r="HV172" i="4" s="1"/>
  <c r="HV173" i="4" s="1"/>
  <c r="HV174" i="4" s="1"/>
  <c r="HV175" i="4" s="1"/>
  <c r="HV176" i="4" s="1"/>
  <c r="HV177" i="4" s="1"/>
  <c r="HV178" i="4" s="1"/>
  <c r="HV179" i="4" s="1"/>
  <c r="HV180" i="4" s="1"/>
  <c r="HV181" i="4" s="1"/>
  <c r="HV182" i="4" s="1"/>
  <c r="HV183" i="4" s="1"/>
  <c r="HV184" i="4" s="1"/>
  <c r="HV185" i="4" s="1"/>
  <c r="HV186" i="4" s="1"/>
  <c r="HV187" i="4" s="1"/>
  <c r="HV188" i="4" s="1"/>
  <c r="HV189" i="4" s="1"/>
  <c r="HV190" i="4" s="1"/>
  <c r="HV191" i="4" s="1"/>
  <c r="HV192" i="4" s="1"/>
  <c r="HV193" i="4" s="1"/>
  <c r="HV194" i="4" s="1"/>
  <c r="HV195" i="4" s="1"/>
  <c r="HV196" i="4" s="1"/>
  <c r="HV197" i="4" s="1"/>
  <c r="HV198" i="4" s="1"/>
  <c r="HV199" i="4" s="1"/>
  <c r="HV200" i="4" s="1"/>
  <c r="HV201" i="4" s="1"/>
  <c r="HV202" i="4" s="1"/>
  <c r="HX53" i="4"/>
  <c r="HY53" i="4"/>
  <c r="HZ53" i="4"/>
  <c r="IA53" i="4"/>
  <c r="IB53" i="4"/>
  <c r="IC53" i="4"/>
  <c r="ID53" i="4"/>
  <c r="IE53" i="4"/>
  <c r="IF53" i="4"/>
  <c r="IG53" i="4"/>
  <c r="IH53" i="4"/>
  <c r="HL54" i="4"/>
  <c r="HM54" i="4"/>
  <c r="HN54" i="4"/>
  <c r="HO54" i="4"/>
  <c r="HP54" i="4"/>
  <c r="HQ54" i="4"/>
  <c r="HR54" i="4"/>
  <c r="HS54" i="4"/>
  <c r="HT54" i="4"/>
  <c r="HU54" i="4"/>
  <c r="HX54" i="4"/>
  <c r="HY54" i="4"/>
  <c r="HZ54" i="4"/>
  <c r="IA54" i="4"/>
  <c r="IB54" i="4"/>
  <c r="IC54" i="4"/>
  <c r="ID54" i="4"/>
  <c r="IE54" i="4"/>
  <c r="IF54" i="4"/>
  <c r="IG54" i="4"/>
  <c r="IH54" i="4"/>
  <c r="IH55" i="4" s="1"/>
  <c r="IH56" i="4" s="1"/>
  <c r="IH57" i="4" s="1"/>
  <c r="IH58" i="4" s="1"/>
  <c r="IH59" i="4" s="1"/>
  <c r="IH60" i="4" s="1"/>
  <c r="IH61" i="4" s="1"/>
  <c r="IH62" i="4" s="1"/>
  <c r="IH63" i="4" s="1"/>
  <c r="IH64" i="4" s="1"/>
  <c r="IH65" i="4" s="1"/>
  <c r="IH66" i="4" s="1"/>
  <c r="IH67" i="4" s="1"/>
  <c r="IH68" i="4" s="1"/>
  <c r="IH69" i="4" s="1"/>
  <c r="IH70" i="4" s="1"/>
  <c r="IH71" i="4" s="1"/>
  <c r="IH72" i="4" s="1"/>
  <c r="IH73" i="4" s="1"/>
  <c r="IH74" i="4" s="1"/>
  <c r="IH75" i="4" s="1"/>
  <c r="IH76" i="4" s="1"/>
  <c r="IH77" i="4" s="1"/>
  <c r="IH78" i="4" s="1"/>
  <c r="IH79" i="4" s="1"/>
  <c r="IH80" i="4" s="1"/>
  <c r="IH81" i="4" s="1"/>
  <c r="IH82" i="4" s="1"/>
  <c r="IH83" i="4" s="1"/>
  <c r="IH84" i="4" s="1"/>
  <c r="IH85" i="4" s="1"/>
  <c r="IH86" i="4" s="1"/>
  <c r="IH87" i="4" s="1"/>
  <c r="IH88" i="4" s="1"/>
  <c r="IH89" i="4" s="1"/>
  <c r="IH90" i="4" s="1"/>
  <c r="IH91" i="4" s="1"/>
  <c r="IH92" i="4" s="1"/>
  <c r="IH93" i="4" s="1"/>
  <c r="IH94" i="4" s="1"/>
  <c r="IH95" i="4" s="1"/>
  <c r="IH96" i="4" s="1"/>
  <c r="IH97" i="4" s="1"/>
  <c r="IH98" i="4" s="1"/>
  <c r="IH99" i="4" s="1"/>
  <c r="IH100" i="4" s="1"/>
  <c r="IH101" i="4" s="1"/>
  <c r="IH102" i="4" s="1"/>
  <c r="IH103" i="4" s="1"/>
  <c r="IH104" i="4" s="1"/>
  <c r="IH105" i="4" s="1"/>
  <c r="IH106" i="4" s="1"/>
  <c r="IH107" i="4" s="1"/>
  <c r="IH108" i="4" s="1"/>
  <c r="IH109" i="4" s="1"/>
  <c r="IH110" i="4" s="1"/>
  <c r="IH111" i="4" s="1"/>
  <c r="IH112" i="4" s="1"/>
  <c r="IH113" i="4" s="1"/>
  <c r="IH114" i="4" s="1"/>
  <c r="IH115" i="4" s="1"/>
  <c r="IH116" i="4" s="1"/>
  <c r="IH117" i="4" s="1"/>
  <c r="IH118" i="4" s="1"/>
  <c r="IH119" i="4" s="1"/>
  <c r="IH120" i="4" s="1"/>
  <c r="IH121" i="4" s="1"/>
  <c r="IH122" i="4" s="1"/>
  <c r="IH123" i="4" s="1"/>
  <c r="IH124" i="4" s="1"/>
  <c r="IH125" i="4" s="1"/>
  <c r="IH126" i="4" s="1"/>
  <c r="IH127" i="4" s="1"/>
  <c r="IH128" i="4" s="1"/>
  <c r="IH129" i="4" s="1"/>
  <c r="IH130" i="4" s="1"/>
  <c r="IH131" i="4" s="1"/>
  <c r="IH132" i="4" s="1"/>
  <c r="IH133" i="4" s="1"/>
  <c r="IH134" i="4" s="1"/>
  <c r="IH135" i="4" s="1"/>
  <c r="IH136" i="4" s="1"/>
  <c r="IH137" i="4" s="1"/>
  <c r="IH138" i="4" s="1"/>
  <c r="IH139" i="4" s="1"/>
  <c r="IH140" i="4" s="1"/>
  <c r="IH141" i="4" s="1"/>
  <c r="IH142" i="4" s="1"/>
  <c r="IH143" i="4" s="1"/>
  <c r="IH144" i="4" s="1"/>
  <c r="IH145" i="4" s="1"/>
  <c r="IH146" i="4" s="1"/>
  <c r="IH147" i="4" s="1"/>
  <c r="IH148" i="4" s="1"/>
  <c r="IH149" i="4" s="1"/>
  <c r="IH150" i="4" s="1"/>
  <c r="IH151" i="4" s="1"/>
  <c r="IH152" i="4" s="1"/>
  <c r="IH153" i="4" s="1"/>
  <c r="IH154" i="4" s="1"/>
  <c r="IH155" i="4" s="1"/>
  <c r="IH156" i="4" s="1"/>
  <c r="IH157" i="4" s="1"/>
  <c r="IH158" i="4" s="1"/>
  <c r="IH159" i="4" s="1"/>
  <c r="IH160" i="4" s="1"/>
  <c r="IH161" i="4" s="1"/>
  <c r="IH162" i="4" s="1"/>
  <c r="IH163" i="4" s="1"/>
  <c r="IH164" i="4" s="1"/>
  <c r="IH165" i="4" s="1"/>
  <c r="IH166" i="4" s="1"/>
  <c r="IH167" i="4" s="1"/>
  <c r="IH168" i="4" s="1"/>
  <c r="IH169" i="4" s="1"/>
  <c r="IH170" i="4" s="1"/>
  <c r="IH171" i="4" s="1"/>
  <c r="IH172" i="4" s="1"/>
  <c r="IH173" i="4" s="1"/>
  <c r="IH174" i="4" s="1"/>
  <c r="IH175" i="4" s="1"/>
  <c r="IH176" i="4" s="1"/>
  <c r="IH177" i="4" s="1"/>
  <c r="IH178" i="4" s="1"/>
  <c r="IH179" i="4" s="1"/>
  <c r="IH180" i="4" s="1"/>
  <c r="IH181" i="4" s="1"/>
  <c r="IH182" i="4" s="1"/>
  <c r="IH183" i="4" s="1"/>
  <c r="IH184" i="4" s="1"/>
  <c r="IH185" i="4" s="1"/>
  <c r="IH186" i="4" s="1"/>
  <c r="IH187" i="4" s="1"/>
  <c r="IH188" i="4" s="1"/>
  <c r="IH189" i="4" s="1"/>
  <c r="IH190" i="4" s="1"/>
  <c r="IH191" i="4" s="1"/>
  <c r="IH192" i="4" s="1"/>
  <c r="IH193" i="4" s="1"/>
  <c r="IH194" i="4" s="1"/>
  <c r="IH195" i="4" s="1"/>
  <c r="IH196" i="4" s="1"/>
  <c r="IH197" i="4" s="1"/>
  <c r="IH198" i="4" s="1"/>
  <c r="IH199" i="4" s="1"/>
  <c r="IH200" i="4" s="1"/>
  <c r="IH201" i="4" s="1"/>
  <c r="IH202" i="4" s="1"/>
  <c r="HL55" i="4"/>
  <c r="HM55" i="4"/>
  <c r="HN55" i="4"/>
  <c r="HO55" i="4"/>
  <c r="HP55" i="4"/>
  <c r="HQ55" i="4"/>
  <c r="HR55" i="4"/>
  <c r="HS55" i="4"/>
  <c r="HT55" i="4"/>
  <c r="HU55" i="4"/>
  <c r="HX55" i="4"/>
  <c r="HY55" i="4"/>
  <c r="HZ55" i="4"/>
  <c r="IA55" i="4"/>
  <c r="IB55" i="4"/>
  <c r="IC55" i="4"/>
  <c r="ID55" i="4"/>
  <c r="IE55" i="4"/>
  <c r="IF55" i="4"/>
  <c r="IG55" i="4"/>
  <c r="HL56" i="4"/>
  <c r="HM56" i="4"/>
  <c r="HN56" i="4"/>
  <c r="HO56" i="4"/>
  <c r="HP56" i="4"/>
  <c r="HQ56" i="4"/>
  <c r="HR56" i="4"/>
  <c r="HS56" i="4"/>
  <c r="HT56" i="4"/>
  <c r="HU56" i="4"/>
  <c r="HX56" i="4"/>
  <c r="HY56" i="4"/>
  <c r="HZ56" i="4"/>
  <c r="IA56" i="4"/>
  <c r="IB56" i="4"/>
  <c r="IC56" i="4"/>
  <c r="ID56" i="4"/>
  <c r="IE56" i="4"/>
  <c r="IF56" i="4"/>
  <c r="IG56" i="4"/>
  <c r="HL57" i="4"/>
  <c r="HM57" i="4"/>
  <c r="HN57" i="4"/>
  <c r="HO57" i="4"/>
  <c r="HP57" i="4"/>
  <c r="HQ57" i="4"/>
  <c r="HR57" i="4"/>
  <c r="HS57" i="4"/>
  <c r="HT57" i="4"/>
  <c r="HU57" i="4"/>
  <c r="HX57" i="4"/>
  <c r="HY57" i="4"/>
  <c r="HZ57" i="4"/>
  <c r="IA57" i="4"/>
  <c r="IB57" i="4"/>
  <c r="IC57" i="4"/>
  <c r="ID57" i="4"/>
  <c r="IE57" i="4"/>
  <c r="IF57" i="4"/>
  <c r="IG57" i="4"/>
  <c r="HL58" i="4"/>
  <c r="HM58" i="4"/>
  <c r="HN58" i="4"/>
  <c r="HO58" i="4"/>
  <c r="HP58" i="4"/>
  <c r="HQ58" i="4"/>
  <c r="HR58" i="4"/>
  <c r="HS58" i="4"/>
  <c r="HT58" i="4"/>
  <c r="HU58" i="4"/>
  <c r="HX58" i="4"/>
  <c r="HY58" i="4"/>
  <c r="HZ58" i="4"/>
  <c r="IA58" i="4"/>
  <c r="IB58" i="4"/>
  <c r="IC58" i="4"/>
  <c r="ID58" i="4"/>
  <c r="IE58" i="4"/>
  <c r="IF58" i="4"/>
  <c r="IG58" i="4"/>
  <c r="HL59" i="4"/>
  <c r="HM59" i="4"/>
  <c r="HN59" i="4"/>
  <c r="HO59" i="4"/>
  <c r="HP59" i="4"/>
  <c r="HQ59" i="4"/>
  <c r="HR59" i="4"/>
  <c r="HS59" i="4"/>
  <c r="HT59" i="4"/>
  <c r="HU59" i="4"/>
  <c r="HX59" i="4"/>
  <c r="HY59" i="4"/>
  <c r="HZ59" i="4"/>
  <c r="IA59" i="4"/>
  <c r="IB59" i="4"/>
  <c r="IC59" i="4"/>
  <c r="ID59" i="4"/>
  <c r="IE59" i="4"/>
  <c r="IF59" i="4"/>
  <c r="IG59" i="4"/>
  <c r="HL60" i="4"/>
  <c r="HM60" i="4"/>
  <c r="HN60" i="4"/>
  <c r="HO60" i="4"/>
  <c r="HP60" i="4"/>
  <c r="HQ60" i="4"/>
  <c r="HR60" i="4"/>
  <c r="HS60" i="4"/>
  <c r="HT60" i="4"/>
  <c r="HU60" i="4"/>
  <c r="HX60" i="4"/>
  <c r="HY60" i="4"/>
  <c r="HZ60" i="4"/>
  <c r="IA60" i="4"/>
  <c r="IB60" i="4"/>
  <c r="IC60" i="4"/>
  <c r="ID60" i="4"/>
  <c r="IE60" i="4"/>
  <c r="IF60" i="4"/>
  <c r="IG60" i="4"/>
  <c r="HL61" i="4"/>
  <c r="HM61" i="4"/>
  <c r="HN61" i="4"/>
  <c r="HO61" i="4"/>
  <c r="HP61" i="4"/>
  <c r="HQ61" i="4"/>
  <c r="HR61" i="4"/>
  <c r="HS61" i="4"/>
  <c r="HT61" i="4"/>
  <c r="HU61" i="4"/>
  <c r="HX61" i="4"/>
  <c r="HY61" i="4"/>
  <c r="HZ61" i="4"/>
  <c r="IA61" i="4"/>
  <c r="IB61" i="4"/>
  <c r="IC61" i="4"/>
  <c r="ID61" i="4"/>
  <c r="IE61" i="4"/>
  <c r="IF61" i="4"/>
  <c r="IG61" i="4"/>
  <c r="HL62" i="4"/>
  <c r="HM62" i="4"/>
  <c r="HN62" i="4"/>
  <c r="HO62" i="4"/>
  <c r="HP62" i="4"/>
  <c r="HQ62" i="4"/>
  <c r="HR62" i="4"/>
  <c r="HS62" i="4"/>
  <c r="HT62" i="4"/>
  <c r="HU62" i="4"/>
  <c r="HX62" i="4"/>
  <c r="HY62" i="4"/>
  <c r="HZ62" i="4"/>
  <c r="IA62" i="4"/>
  <c r="IB62" i="4"/>
  <c r="IC62" i="4"/>
  <c r="ID62" i="4"/>
  <c r="IE62" i="4"/>
  <c r="IF62" i="4"/>
  <c r="IG62" i="4"/>
  <c r="HL63" i="4"/>
  <c r="HM63" i="4"/>
  <c r="HN63" i="4"/>
  <c r="HO63" i="4"/>
  <c r="HP63" i="4"/>
  <c r="HQ63" i="4"/>
  <c r="HR63" i="4"/>
  <c r="HS63" i="4"/>
  <c r="HT63" i="4"/>
  <c r="HU63" i="4"/>
  <c r="HX63" i="4"/>
  <c r="HY63" i="4"/>
  <c r="HZ63" i="4"/>
  <c r="IA63" i="4"/>
  <c r="IB63" i="4"/>
  <c r="IC63" i="4"/>
  <c r="ID63" i="4"/>
  <c r="IE63" i="4"/>
  <c r="IF63" i="4"/>
  <c r="IG63" i="4"/>
  <c r="HL64" i="4"/>
  <c r="HM64" i="4"/>
  <c r="HN64" i="4"/>
  <c r="HO64" i="4"/>
  <c r="HP64" i="4"/>
  <c r="HQ64" i="4"/>
  <c r="HR64" i="4"/>
  <c r="HS64" i="4"/>
  <c r="HT64" i="4"/>
  <c r="HU64" i="4"/>
  <c r="HX64" i="4"/>
  <c r="HY64" i="4"/>
  <c r="HZ64" i="4"/>
  <c r="IA64" i="4"/>
  <c r="IB64" i="4"/>
  <c r="IC64" i="4"/>
  <c r="ID64" i="4"/>
  <c r="IE64" i="4"/>
  <c r="IF64" i="4"/>
  <c r="IG64" i="4"/>
  <c r="HL65" i="4"/>
  <c r="HM65" i="4"/>
  <c r="HN65" i="4"/>
  <c r="HO65" i="4"/>
  <c r="HP65" i="4"/>
  <c r="HQ65" i="4"/>
  <c r="HR65" i="4"/>
  <c r="HS65" i="4"/>
  <c r="HT65" i="4"/>
  <c r="HU65" i="4"/>
  <c r="HX65" i="4"/>
  <c r="HY65" i="4"/>
  <c r="HZ65" i="4"/>
  <c r="IA65" i="4"/>
  <c r="IB65" i="4"/>
  <c r="IC65" i="4"/>
  <c r="ID65" i="4"/>
  <c r="IE65" i="4"/>
  <c r="IF65" i="4"/>
  <c r="IG65" i="4"/>
  <c r="HL66" i="4"/>
  <c r="HM66" i="4"/>
  <c r="HN66" i="4"/>
  <c r="HO66" i="4"/>
  <c r="HP66" i="4"/>
  <c r="HQ66" i="4"/>
  <c r="HR66" i="4"/>
  <c r="HS66" i="4"/>
  <c r="HT66" i="4"/>
  <c r="HU66" i="4"/>
  <c r="HX66" i="4"/>
  <c r="HY66" i="4"/>
  <c r="HZ66" i="4"/>
  <c r="IA66" i="4"/>
  <c r="IB66" i="4"/>
  <c r="IC66" i="4"/>
  <c r="ID66" i="4"/>
  <c r="IE66" i="4"/>
  <c r="IF66" i="4"/>
  <c r="IG66" i="4"/>
  <c r="HL67" i="4"/>
  <c r="HM67" i="4"/>
  <c r="HN67" i="4"/>
  <c r="HO67" i="4"/>
  <c r="HP67" i="4"/>
  <c r="HQ67" i="4"/>
  <c r="HR67" i="4"/>
  <c r="HS67" i="4"/>
  <c r="HT67" i="4"/>
  <c r="HU67" i="4"/>
  <c r="HX67" i="4"/>
  <c r="HY67" i="4"/>
  <c r="HZ67" i="4"/>
  <c r="IA67" i="4"/>
  <c r="IB67" i="4"/>
  <c r="IC67" i="4"/>
  <c r="ID67" i="4"/>
  <c r="IE67" i="4"/>
  <c r="IF67" i="4"/>
  <c r="IG67" i="4"/>
  <c r="HL68" i="4"/>
  <c r="HM68" i="4"/>
  <c r="HN68" i="4"/>
  <c r="HO68" i="4"/>
  <c r="HP68" i="4"/>
  <c r="HQ68" i="4"/>
  <c r="HR68" i="4"/>
  <c r="HS68" i="4"/>
  <c r="HT68" i="4"/>
  <c r="HU68" i="4"/>
  <c r="HX68" i="4"/>
  <c r="HY68" i="4"/>
  <c r="HZ68" i="4"/>
  <c r="IA68" i="4"/>
  <c r="IB68" i="4"/>
  <c r="IC68" i="4"/>
  <c r="ID68" i="4"/>
  <c r="IE68" i="4"/>
  <c r="IF68" i="4"/>
  <c r="IG68" i="4"/>
  <c r="HL69" i="4"/>
  <c r="HM69" i="4"/>
  <c r="HN69" i="4"/>
  <c r="HO69" i="4"/>
  <c r="HP69" i="4"/>
  <c r="HQ69" i="4"/>
  <c r="HR69" i="4"/>
  <c r="HS69" i="4"/>
  <c r="HT69" i="4"/>
  <c r="HU69" i="4"/>
  <c r="HX69" i="4"/>
  <c r="HY69" i="4"/>
  <c r="HZ69" i="4"/>
  <c r="IA69" i="4"/>
  <c r="IB69" i="4"/>
  <c r="IC69" i="4"/>
  <c r="ID69" i="4"/>
  <c r="IE69" i="4"/>
  <c r="IF69" i="4"/>
  <c r="IG69" i="4"/>
  <c r="HL70" i="4"/>
  <c r="HM70" i="4"/>
  <c r="HN70" i="4"/>
  <c r="HO70" i="4"/>
  <c r="HP70" i="4"/>
  <c r="HQ70" i="4"/>
  <c r="HR70" i="4"/>
  <c r="HS70" i="4"/>
  <c r="HT70" i="4"/>
  <c r="HU70" i="4"/>
  <c r="HX70" i="4"/>
  <c r="HY70" i="4"/>
  <c r="HZ70" i="4"/>
  <c r="IA70" i="4"/>
  <c r="IB70" i="4"/>
  <c r="IC70" i="4"/>
  <c r="ID70" i="4"/>
  <c r="IE70" i="4"/>
  <c r="IF70" i="4"/>
  <c r="IG70" i="4"/>
  <c r="HL71" i="4"/>
  <c r="HM71" i="4"/>
  <c r="HN71" i="4"/>
  <c r="HO71" i="4"/>
  <c r="HP71" i="4"/>
  <c r="HQ71" i="4"/>
  <c r="HR71" i="4"/>
  <c r="HS71" i="4"/>
  <c r="HT71" i="4"/>
  <c r="HU71" i="4"/>
  <c r="HX71" i="4"/>
  <c r="HY71" i="4"/>
  <c r="HZ71" i="4"/>
  <c r="IA71" i="4"/>
  <c r="IB71" i="4"/>
  <c r="IC71" i="4"/>
  <c r="ID71" i="4"/>
  <c r="IE71" i="4"/>
  <c r="IF71" i="4"/>
  <c r="IG71" i="4"/>
  <c r="HL72" i="4"/>
  <c r="HM72" i="4"/>
  <c r="HN72" i="4"/>
  <c r="HO72" i="4"/>
  <c r="HP72" i="4"/>
  <c r="HQ72" i="4"/>
  <c r="HR72" i="4"/>
  <c r="HS72" i="4"/>
  <c r="HT72" i="4"/>
  <c r="HU72" i="4"/>
  <c r="HX72" i="4"/>
  <c r="HY72" i="4"/>
  <c r="HZ72" i="4"/>
  <c r="IA72" i="4"/>
  <c r="IB72" i="4"/>
  <c r="IC72" i="4"/>
  <c r="ID72" i="4"/>
  <c r="IE72" i="4"/>
  <c r="IF72" i="4"/>
  <c r="IG72" i="4"/>
  <c r="HL73" i="4"/>
  <c r="HM73" i="4"/>
  <c r="HN73" i="4"/>
  <c r="HO73" i="4"/>
  <c r="HP73" i="4"/>
  <c r="HQ73" i="4"/>
  <c r="HR73" i="4"/>
  <c r="HS73" i="4"/>
  <c r="HT73" i="4"/>
  <c r="HU73" i="4"/>
  <c r="HX73" i="4"/>
  <c r="HY73" i="4"/>
  <c r="HZ73" i="4"/>
  <c r="IA73" i="4"/>
  <c r="IB73" i="4"/>
  <c r="IC73" i="4"/>
  <c r="ID73" i="4"/>
  <c r="IE73" i="4"/>
  <c r="IF73" i="4"/>
  <c r="IG73" i="4"/>
  <c r="HL74" i="4"/>
  <c r="HM74" i="4"/>
  <c r="HN74" i="4"/>
  <c r="HO74" i="4"/>
  <c r="HP74" i="4"/>
  <c r="HQ74" i="4"/>
  <c r="HR74" i="4"/>
  <c r="HS74" i="4"/>
  <c r="HT74" i="4"/>
  <c r="HU74" i="4"/>
  <c r="HX74" i="4"/>
  <c r="HY74" i="4"/>
  <c r="HZ74" i="4"/>
  <c r="IA74" i="4"/>
  <c r="IB74" i="4"/>
  <c r="IC74" i="4"/>
  <c r="ID74" i="4"/>
  <c r="IE74" i="4"/>
  <c r="IF74" i="4"/>
  <c r="IG74" i="4"/>
  <c r="HL75" i="4"/>
  <c r="HM75" i="4"/>
  <c r="HN75" i="4"/>
  <c r="HO75" i="4"/>
  <c r="HP75" i="4"/>
  <c r="HQ75" i="4"/>
  <c r="HR75" i="4"/>
  <c r="HS75" i="4"/>
  <c r="HT75" i="4"/>
  <c r="HU75" i="4"/>
  <c r="HX75" i="4"/>
  <c r="HY75" i="4"/>
  <c r="HZ75" i="4"/>
  <c r="IA75" i="4"/>
  <c r="IB75" i="4"/>
  <c r="IC75" i="4"/>
  <c r="ID75" i="4"/>
  <c r="IE75" i="4"/>
  <c r="IF75" i="4"/>
  <c r="IG75" i="4"/>
  <c r="HL76" i="4"/>
  <c r="HM76" i="4"/>
  <c r="HN76" i="4"/>
  <c r="HO76" i="4"/>
  <c r="HP76" i="4"/>
  <c r="HQ76" i="4"/>
  <c r="HR76" i="4"/>
  <c r="HS76" i="4"/>
  <c r="HT76" i="4"/>
  <c r="HU76" i="4"/>
  <c r="HX76" i="4"/>
  <c r="HY76" i="4"/>
  <c r="HZ76" i="4"/>
  <c r="IA76" i="4"/>
  <c r="IB76" i="4"/>
  <c r="IC76" i="4"/>
  <c r="ID76" i="4"/>
  <c r="IE76" i="4"/>
  <c r="IF76" i="4"/>
  <c r="IG76" i="4"/>
  <c r="HL77" i="4"/>
  <c r="HM77" i="4"/>
  <c r="HN77" i="4"/>
  <c r="HO77" i="4"/>
  <c r="HP77" i="4"/>
  <c r="HQ77" i="4"/>
  <c r="HR77" i="4"/>
  <c r="HS77" i="4"/>
  <c r="HT77" i="4"/>
  <c r="HU77" i="4"/>
  <c r="HX77" i="4"/>
  <c r="HY77" i="4"/>
  <c r="HZ77" i="4"/>
  <c r="IA77" i="4"/>
  <c r="IB77" i="4"/>
  <c r="IC77" i="4"/>
  <c r="ID77" i="4"/>
  <c r="IE77" i="4"/>
  <c r="IF77" i="4"/>
  <c r="IG77" i="4"/>
  <c r="HL78" i="4"/>
  <c r="HM78" i="4"/>
  <c r="HN78" i="4"/>
  <c r="HO78" i="4"/>
  <c r="HP78" i="4"/>
  <c r="HQ78" i="4"/>
  <c r="HR78" i="4"/>
  <c r="HS78" i="4"/>
  <c r="HT78" i="4"/>
  <c r="HU78" i="4"/>
  <c r="HX78" i="4"/>
  <c r="HY78" i="4"/>
  <c r="HZ78" i="4"/>
  <c r="IA78" i="4"/>
  <c r="IB78" i="4"/>
  <c r="IC78" i="4"/>
  <c r="ID78" i="4"/>
  <c r="IE78" i="4"/>
  <c r="IF78" i="4"/>
  <c r="IG78" i="4"/>
  <c r="HL79" i="4"/>
  <c r="HM79" i="4"/>
  <c r="HN79" i="4"/>
  <c r="HO79" i="4"/>
  <c r="HP79" i="4"/>
  <c r="HQ79" i="4"/>
  <c r="HR79" i="4"/>
  <c r="HS79" i="4"/>
  <c r="HT79" i="4"/>
  <c r="HU79" i="4"/>
  <c r="HX79" i="4"/>
  <c r="HY79" i="4"/>
  <c r="HZ79" i="4"/>
  <c r="IA79" i="4"/>
  <c r="IB79" i="4"/>
  <c r="IC79" i="4"/>
  <c r="ID79" i="4"/>
  <c r="IE79" i="4"/>
  <c r="IF79" i="4"/>
  <c r="IG79" i="4"/>
  <c r="HL80" i="4"/>
  <c r="HM80" i="4"/>
  <c r="HN80" i="4"/>
  <c r="HO80" i="4"/>
  <c r="HP80" i="4"/>
  <c r="HQ80" i="4"/>
  <c r="HR80" i="4"/>
  <c r="HS80" i="4"/>
  <c r="HT80" i="4"/>
  <c r="HU80" i="4"/>
  <c r="HX80" i="4"/>
  <c r="HY80" i="4"/>
  <c r="HZ80" i="4"/>
  <c r="IA80" i="4"/>
  <c r="IB80" i="4"/>
  <c r="IC80" i="4"/>
  <c r="ID80" i="4"/>
  <c r="IE80" i="4"/>
  <c r="IF80" i="4"/>
  <c r="IG80" i="4"/>
  <c r="HL81" i="4"/>
  <c r="HM81" i="4"/>
  <c r="HN81" i="4"/>
  <c r="HO81" i="4"/>
  <c r="HP81" i="4"/>
  <c r="HQ81" i="4"/>
  <c r="HR81" i="4"/>
  <c r="HS81" i="4"/>
  <c r="HT81" i="4"/>
  <c r="HU81" i="4"/>
  <c r="HX81" i="4"/>
  <c r="HY81" i="4"/>
  <c r="HZ81" i="4"/>
  <c r="IA81" i="4"/>
  <c r="IB81" i="4"/>
  <c r="IC81" i="4"/>
  <c r="ID81" i="4"/>
  <c r="IE81" i="4"/>
  <c r="IF81" i="4"/>
  <c r="IG81" i="4"/>
  <c r="HL82" i="4"/>
  <c r="HM82" i="4"/>
  <c r="HN82" i="4"/>
  <c r="HO82" i="4"/>
  <c r="HP82" i="4"/>
  <c r="HQ82" i="4"/>
  <c r="HR82" i="4"/>
  <c r="HS82" i="4"/>
  <c r="HT82" i="4"/>
  <c r="HU82" i="4"/>
  <c r="HX82" i="4"/>
  <c r="HY82" i="4"/>
  <c r="HZ82" i="4"/>
  <c r="IA82" i="4"/>
  <c r="IB82" i="4"/>
  <c r="IC82" i="4"/>
  <c r="ID82" i="4"/>
  <c r="IE82" i="4"/>
  <c r="IF82" i="4"/>
  <c r="IG82" i="4"/>
  <c r="HL83" i="4"/>
  <c r="HM83" i="4"/>
  <c r="HN83" i="4"/>
  <c r="HO83" i="4"/>
  <c r="HP83" i="4"/>
  <c r="HQ83" i="4"/>
  <c r="HR83" i="4"/>
  <c r="HS83" i="4"/>
  <c r="HT83" i="4"/>
  <c r="HU83" i="4"/>
  <c r="HX83" i="4"/>
  <c r="HY83" i="4"/>
  <c r="HZ83" i="4"/>
  <c r="IA83" i="4"/>
  <c r="IB83" i="4"/>
  <c r="IC83" i="4"/>
  <c r="ID83" i="4"/>
  <c r="IE83" i="4"/>
  <c r="IF83" i="4"/>
  <c r="IG83" i="4"/>
  <c r="HL84" i="4"/>
  <c r="HM84" i="4"/>
  <c r="HN84" i="4"/>
  <c r="HO84" i="4"/>
  <c r="HP84" i="4"/>
  <c r="HQ84" i="4"/>
  <c r="HR84" i="4"/>
  <c r="HS84" i="4"/>
  <c r="HT84" i="4"/>
  <c r="HU84" i="4"/>
  <c r="HX84" i="4"/>
  <c r="HY84" i="4"/>
  <c r="HZ84" i="4"/>
  <c r="IA84" i="4"/>
  <c r="IB84" i="4"/>
  <c r="IC84" i="4"/>
  <c r="ID84" i="4"/>
  <c r="IE84" i="4"/>
  <c r="IF84" i="4"/>
  <c r="IG84" i="4"/>
  <c r="HL85" i="4"/>
  <c r="HM85" i="4"/>
  <c r="HN85" i="4"/>
  <c r="HO85" i="4"/>
  <c r="HP85" i="4"/>
  <c r="HQ85" i="4"/>
  <c r="HR85" i="4"/>
  <c r="HS85" i="4"/>
  <c r="HT85" i="4"/>
  <c r="HU85" i="4"/>
  <c r="HX85" i="4"/>
  <c r="HY85" i="4"/>
  <c r="HZ85" i="4"/>
  <c r="IA85" i="4"/>
  <c r="IB85" i="4"/>
  <c r="IC85" i="4"/>
  <c r="ID85" i="4"/>
  <c r="IE85" i="4"/>
  <c r="IF85" i="4"/>
  <c r="IG85" i="4"/>
  <c r="HL86" i="4"/>
  <c r="HM86" i="4"/>
  <c r="HN86" i="4"/>
  <c r="HO86" i="4"/>
  <c r="HP86" i="4"/>
  <c r="HQ86" i="4"/>
  <c r="HR86" i="4"/>
  <c r="HS86" i="4"/>
  <c r="HT86" i="4"/>
  <c r="HU86" i="4"/>
  <c r="HX86" i="4"/>
  <c r="HY86" i="4"/>
  <c r="HZ86" i="4"/>
  <c r="IA86" i="4"/>
  <c r="IB86" i="4"/>
  <c r="IC86" i="4"/>
  <c r="ID86" i="4"/>
  <c r="IE86" i="4"/>
  <c r="IF86" i="4"/>
  <c r="IG86" i="4"/>
  <c r="HL87" i="4"/>
  <c r="HM87" i="4"/>
  <c r="HN87" i="4"/>
  <c r="HO87" i="4"/>
  <c r="HP87" i="4"/>
  <c r="HQ87" i="4"/>
  <c r="HR87" i="4"/>
  <c r="HS87" i="4"/>
  <c r="HT87" i="4"/>
  <c r="HU87" i="4"/>
  <c r="HX87" i="4"/>
  <c r="HY87" i="4"/>
  <c r="HZ87" i="4"/>
  <c r="IA87" i="4"/>
  <c r="IB87" i="4"/>
  <c r="IC87" i="4"/>
  <c r="ID87" i="4"/>
  <c r="IE87" i="4"/>
  <c r="IF87" i="4"/>
  <c r="IG87" i="4"/>
  <c r="HL88" i="4"/>
  <c r="HM88" i="4"/>
  <c r="HN88" i="4"/>
  <c r="HO88" i="4"/>
  <c r="HP88" i="4"/>
  <c r="HQ88" i="4"/>
  <c r="HR88" i="4"/>
  <c r="HS88" i="4"/>
  <c r="HT88" i="4"/>
  <c r="HU88" i="4"/>
  <c r="HX88" i="4"/>
  <c r="HY88" i="4"/>
  <c r="HZ88" i="4"/>
  <c r="IA88" i="4"/>
  <c r="IB88" i="4"/>
  <c r="IC88" i="4"/>
  <c r="ID88" i="4"/>
  <c r="IE88" i="4"/>
  <c r="IF88" i="4"/>
  <c r="IG88" i="4"/>
  <c r="HL89" i="4"/>
  <c r="HM89" i="4"/>
  <c r="HN89" i="4"/>
  <c r="HO89" i="4"/>
  <c r="HP89" i="4"/>
  <c r="HQ89" i="4"/>
  <c r="HR89" i="4"/>
  <c r="HS89" i="4"/>
  <c r="HT89" i="4"/>
  <c r="HU89" i="4"/>
  <c r="HX89" i="4"/>
  <c r="HY89" i="4"/>
  <c r="HZ89" i="4"/>
  <c r="IA89" i="4"/>
  <c r="IB89" i="4"/>
  <c r="IC89" i="4"/>
  <c r="ID89" i="4"/>
  <c r="IE89" i="4"/>
  <c r="IF89" i="4"/>
  <c r="IG89" i="4"/>
  <c r="HL90" i="4"/>
  <c r="HM90" i="4"/>
  <c r="HN90" i="4"/>
  <c r="HO90" i="4"/>
  <c r="HP90" i="4"/>
  <c r="HQ90" i="4"/>
  <c r="HR90" i="4"/>
  <c r="HS90" i="4"/>
  <c r="HT90" i="4"/>
  <c r="HU90" i="4"/>
  <c r="HX90" i="4"/>
  <c r="HY90" i="4"/>
  <c r="HZ90" i="4"/>
  <c r="IA90" i="4"/>
  <c r="IB90" i="4"/>
  <c r="IC90" i="4"/>
  <c r="ID90" i="4"/>
  <c r="IE90" i="4"/>
  <c r="IF90" i="4"/>
  <c r="IG90" i="4"/>
  <c r="HL91" i="4"/>
  <c r="HM91" i="4"/>
  <c r="HN91" i="4"/>
  <c r="HO91" i="4"/>
  <c r="HP91" i="4"/>
  <c r="HQ91" i="4"/>
  <c r="HR91" i="4"/>
  <c r="HS91" i="4"/>
  <c r="HT91" i="4"/>
  <c r="HU91" i="4"/>
  <c r="HX91" i="4"/>
  <c r="HY91" i="4"/>
  <c r="HZ91" i="4"/>
  <c r="IA91" i="4"/>
  <c r="IB91" i="4"/>
  <c r="IC91" i="4"/>
  <c r="ID91" i="4"/>
  <c r="IE91" i="4"/>
  <c r="IF91" i="4"/>
  <c r="IG91" i="4"/>
  <c r="HL92" i="4"/>
  <c r="HM92" i="4"/>
  <c r="HN92" i="4"/>
  <c r="HO92" i="4"/>
  <c r="HP92" i="4"/>
  <c r="HQ92" i="4"/>
  <c r="HR92" i="4"/>
  <c r="HS92" i="4"/>
  <c r="HT92" i="4"/>
  <c r="HU92" i="4"/>
  <c r="HX92" i="4"/>
  <c r="HY92" i="4"/>
  <c r="HZ92" i="4"/>
  <c r="IA92" i="4"/>
  <c r="IB92" i="4"/>
  <c r="IC92" i="4"/>
  <c r="ID92" i="4"/>
  <c r="IE92" i="4"/>
  <c r="IF92" i="4"/>
  <c r="IG92" i="4"/>
  <c r="HL93" i="4"/>
  <c r="HM93" i="4"/>
  <c r="HN93" i="4"/>
  <c r="HO93" i="4"/>
  <c r="HP93" i="4"/>
  <c r="HQ93" i="4"/>
  <c r="HR93" i="4"/>
  <c r="HS93" i="4"/>
  <c r="HT93" i="4"/>
  <c r="HU93" i="4"/>
  <c r="HX93" i="4"/>
  <c r="HY93" i="4"/>
  <c r="HZ93" i="4"/>
  <c r="IA93" i="4"/>
  <c r="IB93" i="4"/>
  <c r="IC93" i="4"/>
  <c r="ID93" i="4"/>
  <c r="IE93" i="4"/>
  <c r="IF93" i="4"/>
  <c r="IG93" i="4"/>
  <c r="HL94" i="4"/>
  <c r="HM94" i="4"/>
  <c r="HN94" i="4"/>
  <c r="HO94" i="4"/>
  <c r="HP94" i="4"/>
  <c r="HQ94" i="4"/>
  <c r="HR94" i="4"/>
  <c r="HS94" i="4"/>
  <c r="HT94" i="4"/>
  <c r="HU94" i="4"/>
  <c r="HX94" i="4"/>
  <c r="HY94" i="4"/>
  <c r="HZ94" i="4"/>
  <c r="IA94" i="4"/>
  <c r="IB94" i="4"/>
  <c r="IC94" i="4"/>
  <c r="ID94" i="4"/>
  <c r="IE94" i="4"/>
  <c r="IF94" i="4"/>
  <c r="IG94" i="4"/>
  <c r="HL95" i="4"/>
  <c r="HM95" i="4"/>
  <c r="HN95" i="4"/>
  <c r="HO95" i="4"/>
  <c r="HP95" i="4"/>
  <c r="HQ95" i="4"/>
  <c r="HR95" i="4"/>
  <c r="HS95" i="4"/>
  <c r="HT95" i="4"/>
  <c r="HU95" i="4"/>
  <c r="HX95" i="4"/>
  <c r="HY95" i="4"/>
  <c r="HZ95" i="4"/>
  <c r="IA95" i="4"/>
  <c r="IB95" i="4"/>
  <c r="IC95" i="4"/>
  <c r="ID95" i="4"/>
  <c r="IE95" i="4"/>
  <c r="IF95" i="4"/>
  <c r="IG95" i="4"/>
  <c r="HL96" i="4"/>
  <c r="HM96" i="4"/>
  <c r="HN96" i="4"/>
  <c r="HO96" i="4"/>
  <c r="HP96" i="4"/>
  <c r="HQ96" i="4"/>
  <c r="HR96" i="4"/>
  <c r="HS96" i="4"/>
  <c r="HT96" i="4"/>
  <c r="HU96" i="4"/>
  <c r="HX96" i="4"/>
  <c r="HY96" i="4"/>
  <c r="HZ96" i="4"/>
  <c r="IA96" i="4"/>
  <c r="IB96" i="4"/>
  <c r="IC96" i="4"/>
  <c r="ID96" i="4"/>
  <c r="IE96" i="4"/>
  <c r="IF96" i="4"/>
  <c r="IG96" i="4"/>
  <c r="HL97" i="4"/>
  <c r="HM97" i="4"/>
  <c r="HN97" i="4"/>
  <c r="HO97" i="4"/>
  <c r="HP97" i="4"/>
  <c r="HQ97" i="4"/>
  <c r="HR97" i="4"/>
  <c r="HS97" i="4"/>
  <c r="HT97" i="4"/>
  <c r="HU97" i="4"/>
  <c r="HX97" i="4"/>
  <c r="HY97" i="4"/>
  <c r="HZ97" i="4"/>
  <c r="IA97" i="4"/>
  <c r="IB97" i="4"/>
  <c r="IC97" i="4"/>
  <c r="ID97" i="4"/>
  <c r="IE97" i="4"/>
  <c r="IF97" i="4"/>
  <c r="IG97" i="4"/>
  <c r="HL98" i="4"/>
  <c r="HM98" i="4"/>
  <c r="HN98" i="4"/>
  <c r="HO98" i="4"/>
  <c r="HP98" i="4"/>
  <c r="HQ98" i="4"/>
  <c r="HR98" i="4"/>
  <c r="HS98" i="4"/>
  <c r="HT98" i="4"/>
  <c r="HU98" i="4"/>
  <c r="HX98" i="4"/>
  <c r="HY98" i="4"/>
  <c r="HZ98" i="4"/>
  <c r="IA98" i="4"/>
  <c r="IB98" i="4"/>
  <c r="IC98" i="4"/>
  <c r="ID98" i="4"/>
  <c r="IE98" i="4"/>
  <c r="IF98" i="4"/>
  <c r="IG98" i="4"/>
  <c r="HL99" i="4"/>
  <c r="HM99" i="4"/>
  <c r="HN99" i="4"/>
  <c r="HO99" i="4"/>
  <c r="HP99" i="4"/>
  <c r="HQ99" i="4"/>
  <c r="HR99" i="4"/>
  <c r="HS99" i="4"/>
  <c r="HT99" i="4"/>
  <c r="HU99" i="4"/>
  <c r="HX99" i="4"/>
  <c r="HY99" i="4"/>
  <c r="HZ99" i="4"/>
  <c r="IA99" i="4"/>
  <c r="IB99" i="4"/>
  <c r="IC99" i="4"/>
  <c r="ID99" i="4"/>
  <c r="IE99" i="4"/>
  <c r="IF99" i="4"/>
  <c r="IG99" i="4"/>
  <c r="HL100" i="4"/>
  <c r="HM100" i="4"/>
  <c r="HN100" i="4"/>
  <c r="HO100" i="4"/>
  <c r="HP100" i="4"/>
  <c r="HQ100" i="4"/>
  <c r="HR100" i="4"/>
  <c r="HS100" i="4"/>
  <c r="HT100" i="4"/>
  <c r="HU100" i="4"/>
  <c r="HX100" i="4"/>
  <c r="HY100" i="4"/>
  <c r="HZ100" i="4"/>
  <c r="IA100" i="4"/>
  <c r="IB100" i="4"/>
  <c r="IC100" i="4"/>
  <c r="ID100" i="4"/>
  <c r="IE100" i="4"/>
  <c r="IF100" i="4"/>
  <c r="IG100" i="4"/>
  <c r="HL101" i="4"/>
  <c r="HM101" i="4"/>
  <c r="HN101" i="4"/>
  <c r="HO101" i="4"/>
  <c r="HP101" i="4"/>
  <c r="HQ101" i="4"/>
  <c r="HR101" i="4"/>
  <c r="HS101" i="4"/>
  <c r="HT101" i="4"/>
  <c r="HU101" i="4"/>
  <c r="HX101" i="4"/>
  <c r="HY101" i="4"/>
  <c r="HZ101" i="4"/>
  <c r="IA101" i="4"/>
  <c r="IB101" i="4"/>
  <c r="IC101" i="4"/>
  <c r="ID101" i="4"/>
  <c r="IE101" i="4"/>
  <c r="IF101" i="4"/>
  <c r="IG101" i="4"/>
  <c r="HL102" i="4"/>
  <c r="HM102" i="4"/>
  <c r="HN102" i="4"/>
  <c r="HO102" i="4"/>
  <c r="HP102" i="4"/>
  <c r="HQ102" i="4"/>
  <c r="HR102" i="4"/>
  <c r="HS102" i="4"/>
  <c r="HT102" i="4"/>
  <c r="HU102" i="4"/>
  <c r="HX102" i="4"/>
  <c r="HY102" i="4"/>
  <c r="HZ102" i="4"/>
  <c r="IA102" i="4"/>
  <c r="IB102" i="4"/>
  <c r="IC102" i="4"/>
  <c r="ID102" i="4"/>
  <c r="IE102" i="4"/>
  <c r="IF102" i="4"/>
  <c r="IG102" i="4"/>
  <c r="HL103" i="4"/>
  <c r="HM103" i="4"/>
  <c r="HN103" i="4"/>
  <c r="HO103" i="4"/>
  <c r="HP103" i="4"/>
  <c r="HQ103" i="4"/>
  <c r="HR103" i="4"/>
  <c r="HS103" i="4"/>
  <c r="HT103" i="4"/>
  <c r="HU103" i="4"/>
  <c r="HX103" i="4"/>
  <c r="HY103" i="4"/>
  <c r="HZ103" i="4"/>
  <c r="IA103" i="4"/>
  <c r="IB103" i="4"/>
  <c r="IC103" i="4"/>
  <c r="ID103" i="4"/>
  <c r="IE103" i="4"/>
  <c r="IF103" i="4"/>
  <c r="IG103" i="4"/>
  <c r="HL104" i="4"/>
  <c r="HM104" i="4"/>
  <c r="HN104" i="4"/>
  <c r="HO104" i="4"/>
  <c r="HP104" i="4"/>
  <c r="HQ104" i="4"/>
  <c r="HR104" i="4"/>
  <c r="HS104" i="4"/>
  <c r="HT104" i="4"/>
  <c r="HU104" i="4"/>
  <c r="HX104" i="4"/>
  <c r="HY104" i="4"/>
  <c r="HZ104" i="4"/>
  <c r="IA104" i="4"/>
  <c r="IB104" i="4"/>
  <c r="IC104" i="4"/>
  <c r="ID104" i="4"/>
  <c r="IE104" i="4"/>
  <c r="IF104" i="4"/>
  <c r="IG104" i="4"/>
  <c r="HL105" i="4"/>
  <c r="HM105" i="4"/>
  <c r="HN105" i="4"/>
  <c r="HO105" i="4"/>
  <c r="HP105" i="4"/>
  <c r="HQ105" i="4"/>
  <c r="HR105" i="4"/>
  <c r="HS105" i="4"/>
  <c r="HT105" i="4"/>
  <c r="HU105" i="4"/>
  <c r="HX105" i="4"/>
  <c r="HY105" i="4"/>
  <c r="HZ105" i="4"/>
  <c r="IA105" i="4"/>
  <c r="IB105" i="4"/>
  <c r="IC105" i="4"/>
  <c r="ID105" i="4"/>
  <c r="IE105" i="4"/>
  <c r="IF105" i="4"/>
  <c r="IG105" i="4"/>
  <c r="HL106" i="4"/>
  <c r="HM106" i="4"/>
  <c r="HN106" i="4"/>
  <c r="HO106" i="4"/>
  <c r="HP106" i="4"/>
  <c r="HQ106" i="4"/>
  <c r="HR106" i="4"/>
  <c r="HS106" i="4"/>
  <c r="HT106" i="4"/>
  <c r="HU106" i="4"/>
  <c r="HX106" i="4"/>
  <c r="HY106" i="4"/>
  <c r="HZ106" i="4"/>
  <c r="IA106" i="4"/>
  <c r="IB106" i="4"/>
  <c r="IC106" i="4"/>
  <c r="ID106" i="4"/>
  <c r="IE106" i="4"/>
  <c r="IF106" i="4"/>
  <c r="IG106" i="4"/>
  <c r="HL107" i="4"/>
  <c r="HM107" i="4"/>
  <c r="HN107" i="4"/>
  <c r="HO107" i="4"/>
  <c r="HP107" i="4"/>
  <c r="HQ107" i="4"/>
  <c r="HR107" i="4"/>
  <c r="HS107" i="4"/>
  <c r="HT107" i="4"/>
  <c r="HU107" i="4"/>
  <c r="HX107" i="4"/>
  <c r="HY107" i="4"/>
  <c r="HZ107" i="4"/>
  <c r="IA107" i="4"/>
  <c r="IB107" i="4"/>
  <c r="IC107" i="4"/>
  <c r="ID107" i="4"/>
  <c r="IE107" i="4"/>
  <c r="IF107" i="4"/>
  <c r="IG107" i="4"/>
  <c r="HL108" i="4"/>
  <c r="HM108" i="4"/>
  <c r="HN108" i="4"/>
  <c r="HO108" i="4"/>
  <c r="HP108" i="4"/>
  <c r="HQ108" i="4"/>
  <c r="HR108" i="4"/>
  <c r="HS108" i="4"/>
  <c r="HT108" i="4"/>
  <c r="HU108" i="4"/>
  <c r="HX108" i="4"/>
  <c r="HY108" i="4"/>
  <c r="HZ108" i="4"/>
  <c r="IA108" i="4"/>
  <c r="IB108" i="4"/>
  <c r="IC108" i="4"/>
  <c r="ID108" i="4"/>
  <c r="IE108" i="4"/>
  <c r="IF108" i="4"/>
  <c r="IG108" i="4"/>
  <c r="HL109" i="4"/>
  <c r="HM109" i="4"/>
  <c r="HN109" i="4"/>
  <c r="HO109" i="4"/>
  <c r="HP109" i="4"/>
  <c r="HQ109" i="4"/>
  <c r="HR109" i="4"/>
  <c r="HS109" i="4"/>
  <c r="HT109" i="4"/>
  <c r="HU109" i="4"/>
  <c r="HX109" i="4"/>
  <c r="HY109" i="4"/>
  <c r="HZ109" i="4"/>
  <c r="IA109" i="4"/>
  <c r="IB109" i="4"/>
  <c r="IC109" i="4"/>
  <c r="ID109" i="4"/>
  <c r="IE109" i="4"/>
  <c r="IF109" i="4"/>
  <c r="IG109" i="4"/>
  <c r="HL110" i="4"/>
  <c r="HM110" i="4"/>
  <c r="HN110" i="4"/>
  <c r="HO110" i="4"/>
  <c r="HP110" i="4"/>
  <c r="HQ110" i="4"/>
  <c r="HR110" i="4"/>
  <c r="HS110" i="4"/>
  <c r="HT110" i="4"/>
  <c r="HU110" i="4"/>
  <c r="HX110" i="4"/>
  <c r="HY110" i="4"/>
  <c r="HZ110" i="4"/>
  <c r="IA110" i="4"/>
  <c r="IB110" i="4"/>
  <c r="IC110" i="4"/>
  <c r="ID110" i="4"/>
  <c r="IE110" i="4"/>
  <c r="IF110" i="4"/>
  <c r="IG110" i="4"/>
  <c r="HL111" i="4"/>
  <c r="HM111" i="4"/>
  <c r="HN111" i="4"/>
  <c r="HO111" i="4"/>
  <c r="HP111" i="4"/>
  <c r="HQ111" i="4"/>
  <c r="HR111" i="4"/>
  <c r="HS111" i="4"/>
  <c r="HT111" i="4"/>
  <c r="HU111" i="4"/>
  <c r="HX111" i="4"/>
  <c r="HY111" i="4"/>
  <c r="HZ111" i="4"/>
  <c r="IA111" i="4"/>
  <c r="IB111" i="4"/>
  <c r="IC111" i="4"/>
  <c r="ID111" i="4"/>
  <c r="IE111" i="4"/>
  <c r="IF111" i="4"/>
  <c r="IG111" i="4"/>
  <c r="HL112" i="4"/>
  <c r="HM112" i="4"/>
  <c r="HN112" i="4"/>
  <c r="HO112" i="4"/>
  <c r="HP112" i="4"/>
  <c r="HQ112" i="4"/>
  <c r="HR112" i="4"/>
  <c r="HS112" i="4"/>
  <c r="HT112" i="4"/>
  <c r="HU112" i="4"/>
  <c r="HX112" i="4"/>
  <c r="HY112" i="4"/>
  <c r="HZ112" i="4"/>
  <c r="IA112" i="4"/>
  <c r="IB112" i="4"/>
  <c r="IC112" i="4"/>
  <c r="ID112" i="4"/>
  <c r="IE112" i="4"/>
  <c r="IF112" i="4"/>
  <c r="IG112" i="4"/>
  <c r="HL113" i="4"/>
  <c r="HM113" i="4"/>
  <c r="HN113" i="4"/>
  <c r="HO113" i="4"/>
  <c r="HP113" i="4"/>
  <c r="HQ113" i="4"/>
  <c r="HR113" i="4"/>
  <c r="HS113" i="4"/>
  <c r="HT113" i="4"/>
  <c r="HU113" i="4"/>
  <c r="HX113" i="4"/>
  <c r="HY113" i="4"/>
  <c r="HZ113" i="4"/>
  <c r="IA113" i="4"/>
  <c r="IB113" i="4"/>
  <c r="IC113" i="4"/>
  <c r="ID113" i="4"/>
  <c r="IE113" i="4"/>
  <c r="IF113" i="4"/>
  <c r="IG113" i="4"/>
  <c r="HL114" i="4"/>
  <c r="HM114" i="4"/>
  <c r="HN114" i="4"/>
  <c r="HO114" i="4"/>
  <c r="HP114" i="4"/>
  <c r="HQ114" i="4"/>
  <c r="HR114" i="4"/>
  <c r="HS114" i="4"/>
  <c r="HT114" i="4"/>
  <c r="HU114" i="4"/>
  <c r="HX114" i="4"/>
  <c r="HY114" i="4"/>
  <c r="HZ114" i="4"/>
  <c r="IA114" i="4"/>
  <c r="IB114" i="4"/>
  <c r="IC114" i="4"/>
  <c r="ID114" i="4"/>
  <c r="IE114" i="4"/>
  <c r="IF114" i="4"/>
  <c r="IG114" i="4"/>
  <c r="HL115" i="4"/>
  <c r="HM115" i="4"/>
  <c r="HN115" i="4"/>
  <c r="HO115" i="4"/>
  <c r="HP115" i="4"/>
  <c r="HQ115" i="4"/>
  <c r="HR115" i="4"/>
  <c r="HS115" i="4"/>
  <c r="HT115" i="4"/>
  <c r="HU115" i="4"/>
  <c r="HX115" i="4"/>
  <c r="HY115" i="4"/>
  <c r="HZ115" i="4"/>
  <c r="IA115" i="4"/>
  <c r="IB115" i="4"/>
  <c r="IC115" i="4"/>
  <c r="ID115" i="4"/>
  <c r="IE115" i="4"/>
  <c r="IF115" i="4"/>
  <c r="IG115" i="4"/>
  <c r="HL116" i="4"/>
  <c r="HM116" i="4"/>
  <c r="HN116" i="4"/>
  <c r="HO116" i="4"/>
  <c r="HP116" i="4"/>
  <c r="HQ116" i="4"/>
  <c r="HR116" i="4"/>
  <c r="HS116" i="4"/>
  <c r="HT116" i="4"/>
  <c r="HU116" i="4"/>
  <c r="HX116" i="4"/>
  <c r="HY116" i="4"/>
  <c r="HZ116" i="4"/>
  <c r="IA116" i="4"/>
  <c r="IB116" i="4"/>
  <c r="IC116" i="4"/>
  <c r="ID116" i="4"/>
  <c r="IE116" i="4"/>
  <c r="IF116" i="4"/>
  <c r="IG116" i="4"/>
  <c r="HL117" i="4"/>
  <c r="HM117" i="4"/>
  <c r="HN117" i="4"/>
  <c r="HO117" i="4"/>
  <c r="HP117" i="4"/>
  <c r="HQ117" i="4"/>
  <c r="HR117" i="4"/>
  <c r="HS117" i="4"/>
  <c r="HT117" i="4"/>
  <c r="HU117" i="4"/>
  <c r="HX117" i="4"/>
  <c r="HY117" i="4"/>
  <c r="HZ117" i="4"/>
  <c r="IA117" i="4"/>
  <c r="IB117" i="4"/>
  <c r="IC117" i="4"/>
  <c r="ID117" i="4"/>
  <c r="IE117" i="4"/>
  <c r="IF117" i="4"/>
  <c r="IG117" i="4"/>
  <c r="HL118" i="4"/>
  <c r="HM118" i="4"/>
  <c r="HN118" i="4"/>
  <c r="HO118" i="4"/>
  <c r="HP118" i="4"/>
  <c r="HQ118" i="4"/>
  <c r="HR118" i="4"/>
  <c r="HS118" i="4"/>
  <c r="HT118" i="4"/>
  <c r="HU118" i="4"/>
  <c r="HX118" i="4"/>
  <c r="HY118" i="4"/>
  <c r="HZ118" i="4"/>
  <c r="IA118" i="4"/>
  <c r="IB118" i="4"/>
  <c r="IC118" i="4"/>
  <c r="ID118" i="4"/>
  <c r="IE118" i="4"/>
  <c r="IF118" i="4"/>
  <c r="IG118" i="4"/>
  <c r="HL119" i="4"/>
  <c r="HM119" i="4"/>
  <c r="HN119" i="4"/>
  <c r="HO119" i="4"/>
  <c r="HP119" i="4"/>
  <c r="HQ119" i="4"/>
  <c r="HR119" i="4"/>
  <c r="HS119" i="4"/>
  <c r="HT119" i="4"/>
  <c r="HU119" i="4"/>
  <c r="HX119" i="4"/>
  <c r="HY119" i="4"/>
  <c r="HZ119" i="4"/>
  <c r="IA119" i="4"/>
  <c r="IB119" i="4"/>
  <c r="IC119" i="4"/>
  <c r="ID119" i="4"/>
  <c r="IE119" i="4"/>
  <c r="IF119" i="4"/>
  <c r="IG119" i="4"/>
  <c r="HL120" i="4"/>
  <c r="HM120" i="4"/>
  <c r="HN120" i="4"/>
  <c r="HO120" i="4"/>
  <c r="HP120" i="4"/>
  <c r="HQ120" i="4"/>
  <c r="HR120" i="4"/>
  <c r="HS120" i="4"/>
  <c r="HT120" i="4"/>
  <c r="HU120" i="4"/>
  <c r="HX120" i="4"/>
  <c r="HY120" i="4"/>
  <c r="HZ120" i="4"/>
  <c r="IA120" i="4"/>
  <c r="IB120" i="4"/>
  <c r="IC120" i="4"/>
  <c r="ID120" i="4"/>
  <c r="IE120" i="4"/>
  <c r="IF120" i="4"/>
  <c r="IG120" i="4"/>
  <c r="HL121" i="4"/>
  <c r="HM121" i="4"/>
  <c r="HN121" i="4"/>
  <c r="HO121" i="4"/>
  <c r="HP121" i="4"/>
  <c r="HQ121" i="4"/>
  <c r="HR121" i="4"/>
  <c r="HS121" i="4"/>
  <c r="HT121" i="4"/>
  <c r="HU121" i="4"/>
  <c r="HX121" i="4"/>
  <c r="HY121" i="4"/>
  <c r="HZ121" i="4"/>
  <c r="IA121" i="4"/>
  <c r="IB121" i="4"/>
  <c r="IC121" i="4"/>
  <c r="ID121" i="4"/>
  <c r="IE121" i="4"/>
  <c r="IF121" i="4"/>
  <c r="IG121" i="4"/>
  <c r="HL122" i="4"/>
  <c r="HM122" i="4"/>
  <c r="HN122" i="4"/>
  <c r="HO122" i="4"/>
  <c r="HP122" i="4"/>
  <c r="HQ122" i="4"/>
  <c r="HR122" i="4"/>
  <c r="HS122" i="4"/>
  <c r="HT122" i="4"/>
  <c r="HU122" i="4"/>
  <c r="HX122" i="4"/>
  <c r="HY122" i="4"/>
  <c r="HZ122" i="4"/>
  <c r="IA122" i="4"/>
  <c r="IB122" i="4"/>
  <c r="IC122" i="4"/>
  <c r="ID122" i="4"/>
  <c r="IE122" i="4"/>
  <c r="IF122" i="4"/>
  <c r="IG122" i="4"/>
  <c r="HL123" i="4"/>
  <c r="HM123" i="4"/>
  <c r="HN123" i="4"/>
  <c r="HO123" i="4"/>
  <c r="HP123" i="4"/>
  <c r="HQ123" i="4"/>
  <c r="HR123" i="4"/>
  <c r="HS123" i="4"/>
  <c r="HT123" i="4"/>
  <c r="HU123" i="4"/>
  <c r="HX123" i="4"/>
  <c r="HY123" i="4"/>
  <c r="HZ123" i="4"/>
  <c r="IA123" i="4"/>
  <c r="IB123" i="4"/>
  <c r="IC123" i="4"/>
  <c r="ID123" i="4"/>
  <c r="IE123" i="4"/>
  <c r="IF123" i="4"/>
  <c r="IG123" i="4"/>
  <c r="HL124" i="4"/>
  <c r="HM124" i="4"/>
  <c r="HN124" i="4"/>
  <c r="HO124" i="4"/>
  <c r="HP124" i="4"/>
  <c r="HQ124" i="4"/>
  <c r="HR124" i="4"/>
  <c r="HS124" i="4"/>
  <c r="HT124" i="4"/>
  <c r="HU124" i="4"/>
  <c r="HX124" i="4"/>
  <c r="HY124" i="4"/>
  <c r="HZ124" i="4"/>
  <c r="IA124" i="4"/>
  <c r="IB124" i="4"/>
  <c r="IC124" i="4"/>
  <c r="ID124" i="4"/>
  <c r="IE124" i="4"/>
  <c r="IF124" i="4"/>
  <c r="IG124" i="4"/>
  <c r="HL125" i="4"/>
  <c r="HM125" i="4"/>
  <c r="HN125" i="4"/>
  <c r="HO125" i="4"/>
  <c r="HP125" i="4"/>
  <c r="HQ125" i="4"/>
  <c r="HR125" i="4"/>
  <c r="HS125" i="4"/>
  <c r="HT125" i="4"/>
  <c r="HU125" i="4"/>
  <c r="HX125" i="4"/>
  <c r="HY125" i="4"/>
  <c r="HZ125" i="4"/>
  <c r="IA125" i="4"/>
  <c r="IB125" i="4"/>
  <c r="IC125" i="4"/>
  <c r="ID125" i="4"/>
  <c r="IE125" i="4"/>
  <c r="IF125" i="4"/>
  <c r="IG125" i="4"/>
  <c r="HL126" i="4"/>
  <c r="HM126" i="4"/>
  <c r="HN126" i="4"/>
  <c r="HO126" i="4"/>
  <c r="HP126" i="4"/>
  <c r="HQ126" i="4"/>
  <c r="HR126" i="4"/>
  <c r="HS126" i="4"/>
  <c r="HT126" i="4"/>
  <c r="HU126" i="4"/>
  <c r="HX126" i="4"/>
  <c r="HY126" i="4"/>
  <c r="HZ126" i="4"/>
  <c r="IA126" i="4"/>
  <c r="IB126" i="4"/>
  <c r="IC126" i="4"/>
  <c r="ID126" i="4"/>
  <c r="IE126" i="4"/>
  <c r="IF126" i="4"/>
  <c r="IG126" i="4"/>
  <c r="HL127" i="4"/>
  <c r="HM127" i="4"/>
  <c r="HN127" i="4"/>
  <c r="HO127" i="4"/>
  <c r="HP127" i="4"/>
  <c r="HQ127" i="4"/>
  <c r="HR127" i="4"/>
  <c r="HS127" i="4"/>
  <c r="HT127" i="4"/>
  <c r="HU127" i="4"/>
  <c r="HX127" i="4"/>
  <c r="HY127" i="4"/>
  <c r="HZ127" i="4"/>
  <c r="IA127" i="4"/>
  <c r="IB127" i="4"/>
  <c r="IC127" i="4"/>
  <c r="ID127" i="4"/>
  <c r="IE127" i="4"/>
  <c r="IF127" i="4"/>
  <c r="IG127" i="4"/>
  <c r="HL128" i="4"/>
  <c r="HM128" i="4"/>
  <c r="HN128" i="4"/>
  <c r="HO128" i="4"/>
  <c r="HP128" i="4"/>
  <c r="HQ128" i="4"/>
  <c r="HR128" i="4"/>
  <c r="HS128" i="4"/>
  <c r="HT128" i="4"/>
  <c r="HU128" i="4"/>
  <c r="HX128" i="4"/>
  <c r="HY128" i="4"/>
  <c r="HZ128" i="4"/>
  <c r="IA128" i="4"/>
  <c r="IB128" i="4"/>
  <c r="IC128" i="4"/>
  <c r="ID128" i="4"/>
  <c r="IE128" i="4"/>
  <c r="IF128" i="4"/>
  <c r="IG128" i="4"/>
  <c r="HL129" i="4"/>
  <c r="HM129" i="4"/>
  <c r="HN129" i="4"/>
  <c r="HO129" i="4"/>
  <c r="HP129" i="4"/>
  <c r="HQ129" i="4"/>
  <c r="HR129" i="4"/>
  <c r="HS129" i="4"/>
  <c r="HT129" i="4"/>
  <c r="HU129" i="4"/>
  <c r="HX129" i="4"/>
  <c r="HY129" i="4"/>
  <c r="HZ129" i="4"/>
  <c r="IA129" i="4"/>
  <c r="IB129" i="4"/>
  <c r="IC129" i="4"/>
  <c r="ID129" i="4"/>
  <c r="IE129" i="4"/>
  <c r="IF129" i="4"/>
  <c r="IG129" i="4"/>
  <c r="HL130" i="4"/>
  <c r="HM130" i="4"/>
  <c r="HN130" i="4"/>
  <c r="HO130" i="4"/>
  <c r="HP130" i="4"/>
  <c r="HQ130" i="4"/>
  <c r="HR130" i="4"/>
  <c r="HS130" i="4"/>
  <c r="HT130" i="4"/>
  <c r="HU130" i="4"/>
  <c r="HX130" i="4"/>
  <c r="HY130" i="4"/>
  <c r="HZ130" i="4"/>
  <c r="IA130" i="4"/>
  <c r="IB130" i="4"/>
  <c r="IC130" i="4"/>
  <c r="ID130" i="4"/>
  <c r="IE130" i="4"/>
  <c r="IF130" i="4"/>
  <c r="IG130" i="4"/>
  <c r="HL131" i="4"/>
  <c r="HM131" i="4"/>
  <c r="HN131" i="4"/>
  <c r="HO131" i="4"/>
  <c r="HP131" i="4"/>
  <c r="HQ131" i="4"/>
  <c r="HR131" i="4"/>
  <c r="HS131" i="4"/>
  <c r="HT131" i="4"/>
  <c r="HU131" i="4"/>
  <c r="HX131" i="4"/>
  <c r="HY131" i="4"/>
  <c r="HZ131" i="4"/>
  <c r="IA131" i="4"/>
  <c r="IB131" i="4"/>
  <c r="IC131" i="4"/>
  <c r="ID131" i="4"/>
  <c r="IE131" i="4"/>
  <c r="IF131" i="4"/>
  <c r="IG131" i="4"/>
  <c r="HL132" i="4"/>
  <c r="HM132" i="4"/>
  <c r="HN132" i="4"/>
  <c r="HO132" i="4"/>
  <c r="HP132" i="4"/>
  <c r="HQ132" i="4"/>
  <c r="HR132" i="4"/>
  <c r="HS132" i="4"/>
  <c r="HT132" i="4"/>
  <c r="HU132" i="4"/>
  <c r="HX132" i="4"/>
  <c r="HY132" i="4"/>
  <c r="HZ132" i="4"/>
  <c r="IA132" i="4"/>
  <c r="IB132" i="4"/>
  <c r="IC132" i="4"/>
  <c r="ID132" i="4"/>
  <c r="IE132" i="4"/>
  <c r="IF132" i="4"/>
  <c r="IG132" i="4"/>
  <c r="HL133" i="4"/>
  <c r="HM133" i="4"/>
  <c r="HN133" i="4"/>
  <c r="HO133" i="4"/>
  <c r="HP133" i="4"/>
  <c r="HQ133" i="4"/>
  <c r="HR133" i="4"/>
  <c r="HS133" i="4"/>
  <c r="HT133" i="4"/>
  <c r="HU133" i="4"/>
  <c r="HX133" i="4"/>
  <c r="HY133" i="4"/>
  <c r="HZ133" i="4"/>
  <c r="IA133" i="4"/>
  <c r="IB133" i="4"/>
  <c r="IC133" i="4"/>
  <c r="ID133" i="4"/>
  <c r="IE133" i="4"/>
  <c r="IF133" i="4"/>
  <c r="IG133" i="4"/>
  <c r="HL134" i="4"/>
  <c r="HM134" i="4"/>
  <c r="HN134" i="4"/>
  <c r="HO134" i="4"/>
  <c r="HP134" i="4"/>
  <c r="HQ134" i="4"/>
  <c r="HR134" i="4"/>
  <c r="HS134" i="4"/>
  <c r="HT134" i="4"/>
  <c r="HU134" i="4"/>
  <c r="HX134" i="4"/>
  <c r="HY134" i="4"/>
  <c r="HZ134" i="4"/>
  <c r="IA134" i="4"/>
  <c r="IB134" i="4"/>
  <c r="IC134" i="4"/>
  <c r="ID134" i="4"/>
  <c r="IE134" i="4"/>
  <c r="IF134" i="4"/>
  <c r="IG134" i="4"/>
  <c r="HL135" i="4"/>
  <c r="HM135" i="4"/>
  <c r="HN135" i="4"/>
  <c r="HO135" i="4"/>
  <c r="HP135" i="4"/>
  <c r="HQ135" i="4"/>
  <c r="HR135" i="4"/>
  <c r="HS135" i="4"/>
  <c r="HT135" i="4"/>
  <c r="HU135" i="4"/>
  <c r="HX135" i="4"/>
  <c r="HY135" i="4"/>
  <c r="HZ135" i="4"/>
  <c r="IA135" i="4"/>
  <c r="IB135" i="4"/>
  <c r="IC135" i="4"/>
  <c r="ID135" i="4"/>
  <c r="IE135" i="4"/>
  <c r="IF135" i="4"/>
  <c r="IG135" i="4"/>
  <c r="HL136" i="4"/>
  <c r="HM136" i="4"/>
  <c r="HN136" i="4"/>
  <c r="HO136" i="4"/>
  <c r="HP136" i="4"/>
  <c r="HQ136" i="4"/>
  <c r="HR136" i="4"/>
  <c r="HS136" i="4"/>
  <c r="HT136" i="4"/>
  <c r="HU136" i="4"/>
  <c r="HX136" i="4"/>
  <c r="HY136" i="4"/>
  <c r="HZ136" i="4"/>
  <c r="IA136" i="4"/>
  <c r="IB136" i="4"/>
  <c r="IC136" i="4"/>
  <c r="ID136" i="4"/>
  <c r="IE136" i="4"/>
  <c r="IF136" i="4"/>
  <c r="IG136" i="4"/>
  <c r="HL137" i="4"/>
  <c r="HM137" i="4"/>
  <c r="HN137" i="4"/>
  <c r="HO137" i="4"/>
  <c r="HP137" i="4"/>
  <c r="HQ137" i="4"/>
  <c r="HR137" i="4"/>
  <c r="HS137" i="4"/>
  <c r="HT137" i="4"/>
  <c r="HU137" i="4"/>
  <c r="HX137" i="4"/>
  <c r="HY137" i="4"/>
  <c r="HZ137" i="4"/>
  <c r="IA137" i="4"/>
  <c r="IB137" i="4"/>
  <c r="IC137" i="4"/>
  <c r="ID137" i="4"/>
  <c r="IE137" i="4"/>
  <c r="IF137" i="4"/>
  <c r="IG137" i="4"/>
  <c r="HL138" i="4"/>
  <c r="HM138" i="4"/>
  <c r="HN138" i="4"/>
  <c r="HO138" i="4"/>
  <c r="HP138" i="4"/>
  <c r="HQ138" i="4"/>
  <c r="HR138" i="4"/>
  <c r="HS138" i="4"/>
  <c r="HT138" i="4"/>
  <c r="HU138" i="4"/>
  <c r="HX138" i="4"/>
  <c r="HY138" i="4"/>
  <c r="HZ138" i="4"/>
  <c r="IA138" i="4"/>
  <c r="IB138" i="4"/>
  <c r="IC138" i="4"/>
  <c r="ID138" i="4"/>
  <c r="IE138" i="4"/>
  <c r="IF138" i="4"/>
  <c r="IG138" i="4"/>
  <c r="HL139" i="4"/>
  <c r="HM139" i="4"/>
  <c r="HN139" i="4"/>
  <c r="HO139" i="4"/>
  <c r="HP139" i="4"/>
  <c r="HQ139" i="4"/>
  <c r="HR139" i="4"/>
  <c r="HS139" i="4"/>
  <c r="HT139" i="4"/>
  <c r="HU139" i="4"/>
  <c r="HX139" i="4"/>
  <c r="HY139" i="4"/>
  <c r="HZ139" i="4"/>
  <c r="IA139" i="4"/>
  <c r="IB139" i="4"/>
  <c r="IC139" i="4"/>
  <c r="ID139" i="4"/>
  <c r="IE139" i="4"/>
  <c r="IF139" i="4"/>
  <c r="IG139" i="4"/>
  <c r="HL140" i="4"/>
  <c r="HM140" i="4"/>
  <c r="HN140" i="4"/>
  <c r="HO140" i="4"/>
  <c r="HP140" i="4"/>
  <c r="HQ140" i="4"/>
  <c r="HR140" i="4"/>
  <c r="HS140" i="4"/>
  <c r="HT140" i="4"/>
  <c r="HU140" i="4"/>
  <c r="HX140" i="4"/>
  <c r="HY140" i="4"/>
  <c r="HZ140" i="4"/>
  <c r="IA140" i="4"/>
  <c r="IB140" i="4"/>
  <c r="IC140" i="4"/>
  <c r="ID140" i="4"/>
  <c r="IE140" i="4"/>
  <c r="IF140" i="4"/>
  <c r="IG140" i="4"/>
  <c r="HL141" i="4"/>
  <c r="HM141" i="4"/>
  <c r="HN141" i="4"/>
  <c r="HO141" i="4"/>
  <c r="HP141" i="4"/>
  <c r="HQ141" i="4"/>
  <c r="HR141" i="4"/>
  <c r="HS141" i="4"/>
  <c r="HT141" i="4"/>
  <c r="HU141" i="4"/>
  <c r="HX141" i="4"/>
  <c r="HY141" i="4"/>
  <c r="HZ141" i="4"/>
  <c r="IA141" i="4"/>
  <c r="IB141" i="4"/>
  <c r="IC141" i="4"/>
  <c r="ID141" i="4"/>
  <c r="IE141" i="4"/>
  <c r="IF141" i="4"/>
  <c r="IG141" i="4"/>
  <c r="HL142" i="4"/>
  <c r="HM142" i="4"/>
  <c r="HN142" i="4"/>
  <c r="HO142" i="4"/>
  <c r="HP142" i="4"/>
  <c r="HQ142" i="4"/>
  <c r="HR142" i="4"/>
  <c r="HS142" i="4"/>
  <c r="HT142" i="4"/>
  <c r="HU142" i="4"/>
  <c r="HX142" i="4"/>
  <c r="HY142" i="4"/>
  <c r="HZ142" i="4"/>
  <c r="IA142" i="4"/>
  <c r="IB142" i="4"/>
  <c r="IC142" i="4"/>
  <c r="ID142" i="4"/>
  <c r="IE142" i="4"/>
  <c r="IF142" i="4"/>
  <c r="IG142" i="4"/>
  <c r="HL143" i="4"/>
  <c r="HM143" i="4"/>
  <c r="HN143" i="4"/>
  <c r="HO143" i="4"/>
  <c r="HP143" i="4"/>
  <c r="HQ143" i="4"/>
  <c r="HR143" i="4"/>
  <c r="HS143" i="4"/>
  <c r="HT143" i="4"/>
  <c r="HU143" i="4"/>
  <c r="HX143" i="4"/>
  <c r="HY143" i="4"/>
  <c r="HZ143" i="4"/>
  <c r="IA143" i="4"/>
  <c r="IB143" i="4"/>
  <c r="IC143" i="4"/>
  <c r="ID143" i="4"/>
  <c r="IE143" i="4"/>
  <c r="IF143" i="4"/>
  <c r="IG143" i="4"/>
  <c r="HL144" i="4"/>
  <c r="HM144" i="4"/>
  <c r="HN144" i="4"/>
  <c r="HO144" i="4"/>
  <c r="HP144" i="4"/>
  <c r="HQ144" i="4"/>
  <c r="HR144" i="4"/>
  <c r="HS144" i="4"/>
  <c r="HT144" i="4"/>
  <c r="HU144" i="4"/>
  <c r="HX144" i="4"/>
  <c r="HY144" i="4"/>
  <c r="HZ144" i="4"/>
  <c r="IA144" i="4"/>
  <c r="IB144" i="4"/>
  <c r="IC144" i="4"/>
  <c r="ID144" i="4"/>
  <c r="IE144" i="4"/>
  <c r="IF144" i="4"/>
  <c r="IG144" i="4"/>
  <c r="HL145" i="4"/>
  <c r="HM145" i="4"/>
  <c r="HN145" i="4"/>
  <c r="HO145" i="4"/>
  <c r="HP145" i="4"/>
  <c r="HQ145" i="4"/>
  <c r="HR145" i="4"/>
  <c r="HS145" i="4"/>
  <c r="HT145" i="4"/>
  <c r="HU145" i="4"/>
  <c r="HX145" i="4"/>
  <c r="HY145" i="4"/>
  <c r="HZ145" i="4"/>
  <c r="IA145" i="4"/>
  <c r="IB145" i="4"/>
  <c r="IC145" i="4"/>
  <c r="ID145" i="4"/>
  <c r="IE145" i="4"/>
  <c r="IF145" i="4"/>
  <c r="IG145" i="4"/>
  <c r="HL146" i="4"/>
  <c r="HM146" i="4"/>
  <c r="HN146" i="4"/>
  <c r="HO146" i="4"/>
  <c r="HP146" i="4"/>
  <c r="HQ146" i="4"/>
  <c r="HR146" i="4"/>
  <c r="HS146" i="4"/>
  <c r="HT146" i="4"/>
  <c r="HU146" i="4"/>
  <c r="HX146" i="4"/>
  <c r="HY146" i="4"/>
  <c r="HZ146" i="4"/>
  <c r="IA146" i="4"/>
  <c r="IB146" i="4"/>
  <c r="IC146" i="4"/>
  <c r="ID146" i="4"/>
  <c r="IE146" i="4"/>
  <c r="IF146" i="4"/>
  <c r="IG146" i="4"/>
  <c r="HL147" i="4"/>
  <c r="HM147" i="4"/>
  <c r="HN147" i="4"/>
  <c r="HO147" i="4"/>
  <c r="HP147" i="4"/>
  <c r="HQ147" i="4"/>
  <c r="HR147" i="4"/>
  <c r="HS147" i="4"/>
  <c r="HT147" i="4"/>
  <c r="HU147" i="4"/>
  <c r="HX147" i="4"/>
  <c r="HY147" i="4"/>
  <c r="HZ147" i="4"/>
  <c r="IA147" i="4"/>
  <c r="IB147" i="4"/>
  <c r="IC147" i="4"/>
  <c r="ID147" i="4"/>
  <c r="IE147" i="4"/>
  <c r="IF147" i="4"/>
  <c r="IG147" i="4"/>
  <c r="HL148" i="4"/>
  <c r="HM148" i="4"/>
  <c r="HN148" i="4"/>
  <c r="HO148" i="4"/>
  <c r="HP148" i="4"/>
  <c r="HQ148" i="4"/>
  <c r="HR148" i="4"/>
  <c r="HS148" i="4"/>
  <c r="HT148" i="4"/>
  <c r="HU148" i="4"/>
  <c r="HX148" i="4"/>
  <c r="HY148" i="4"/>
  <c r="HZ148" i="4"/>
  <c r="IA148" i="4"/>
  <c r="IB148" i="4"/>
  <c r="IC148" i="4"/>
  <c r="ID148" i="4"/>
  <c r="IE148" i="4"/>
  <c r="IF148" i="4"/>
  <c r="IG148" i="4"/>
  <c r="HL149" i="4"/>
  <c r="HM149" i="4"/>
  <c r="HN149" i="4"/>
  <c r="HO149" i="4"/>
  <c r="HP149" i="4"/>
  <c r="HQ149" i="4"/>
  <c r="HR149" i="4"/>
  <c r="HS149" i="4"/>
  <c r="HT149" i="4"/>
  <c r="HU149" i="4"/>
  <c r="HX149" i="4"/>
  <c r="HY149" i="4"/>
  <c r="HZ149" i="4"/>
  <c r="IA149" i="4"/>
  <c r="IB149" i="4"/>
  <c r="IC149" i="4"/>
  <c r="ID149" i="4"/>
  <c r="IE149" i="4"/>
  <c r="IF149" i="4"/>
  <c r="IG149" i="4"/>
  <c r="HL150" i="4"/>
  <c r="HM150" i="4"/>
  <c r="HN150" i="4"/>
  <c r="HO150" i="4"/>
  <c r="HP150" i="4"/>
  <c r="HQ150" i="4"/>
  <c r="HR150" i="4"/>
  <c r="HS150" i="4"/>
  <c r="HT150" i="4"/>
  <c r="HU150" i="4"/>
  <c r="HX150" i="4"/>
  <c r="HY150" i="4"/>
  <c r="HZ150" i="4"/>
  <c r="IA150" i="4"/>
  <c r="IB150" i="4"/>
  <c r="IC150" i="4"/>
  <c r="ID150" i="4"/>
  <c r="IE150" i="4"/>
  <c r="IF150" i="4"/>
  <c r="IG150" i="4"/>
  <c r="HL151" i="4"/>
  <c r="HM151" i="4"/>
  <c r="HN151" i="4"/>
  <c r="HO151" i="4"/>
  <c r="HP151" i="4"/>
  <c r="HQ151" i="4"/>
  <c r="HR151" i="4"/>
  <c r="HS151" i="4"/>
  <c r="HT151" i="4"/>
  <c r="HU151" i="4"/>
  <c r="HX151" i="4"/>
  <c r="HY151" i="4"/>
  <c r="HZ151" i="4"/>
  <c r="IA151" i="4"/>
  <c r="IB151" i="4"/>
  <c r="IC151" i="4"/>
  <c r="ID151" i="4"/>
  <c r="IE151" i="4"/>
  <c r="IF151" i="4"/>
  <c r="IG151" i="4"/>
  <c r="HL152" i="4"/>
  <c r="HM152" i="4"/>
  <c r="HN152" i="4"/>
  <c r="HO152" i="4"/>
  <c r="HP152" i="4"/>
  <c r="HQ152" i="4"/>
  <c r="HR152" i="4"/>
  <c r="HS152" i="4"/>
  <c r="HS153" i="4" s="1"/>
  <c r="HS154" i="4" s="1"/>
  <c r="HS155" i="4" s="1"/>
  <c r="HS156" i="4" s="1"/>
  <c r="HS157" i="4" s="1"/>
  <c r="HS158" i="4" s="1"/>
  <c r="HS159" i="4" s="1"/>
  <c r="HS160" i="4" s="1"/>
  <c r="HS161" i="4" s="1"/>
  <c r="HS162" i="4" s="1"/>
  <c r="HS163" i="4" s="1"/>
  <c r="HS164" i="4" s="1"/>
  <c r="HS165" i="4" s="1"/>
  <c r="HS166" i="4" s="1"/>
  <c r="HS167" i="4" s="1"/>
  <c r="HS168" i="4" s="1"/>
  <c r="HS169" i="4" s="1"/>
  <c r="HS170" i="4" s="1"/>
  <c r="HS171" i="4" s="1"/>
  <c r="HS172" i="4" s="1"/>
  <c r="HS173" i="4" s="1"/>
  <c r="HS174" i="4" s="1"/>
  <c r="HS175" i="4" s="1"/>
  <c r="HS176" i="4" s="1"/>
  <c r="HS177" i="4" s="1"/>
  <c r="HS178" i="4" s="1"/>
  <c r="HS179" i="4" s="1"/>
  <c r="HS180" i="4" s="1"/>
  <c r="HS181" i="4" s="1"/>
  <c r="HS182" i="4" s="1"/>
  <c r="HS183" i="4" s="1"/>
  <c r="HS184" i="4" s="1"/>
  <c r="HS185" i="4" s="1"/>
  <c r="HS186" i="4" s="1"/>
  <c r="HS187" i="4" s="1"/>
  <c r="HS188" i="4" s="1"/>
  <c r="HS189" i="4" s="1"/>
  <c r="HS190" i="4" s="1"/>
  <c r="HS191" i="4" s="1"/>
  <c r="HS192" i="4" s="1"/>
  <c r="HS193" i="4" s="1"/>
  <c r="HS194" i="4" s="1"/>
  <c r="HS195" i="4" s="1"/>
  <c r="HS196" i="4" s="1"/>
  <c r="HS197" i="4" s="1"/>
  <c r="HS198" i="4" s="1"/>
  <c r="HS199" i="4" s="1"/>
  <c r="HS200" i="4" s="1"/>
  <c r="HS201" i="4" s="1"/>
  <c r="HS202" i="4" s="1"/>
  <c r="HT152" i="4"/>
  <c r="HU152" i="4"/>
  <c r="HX152" i="4"/>
  <c r="HY152" i="4"/>
  <c r="HZ152" i="4"/>
  <c r="IA152" i="4"/>
  <c r="IB152" i="4"/>
  <c r="IC152" i="4"/>
  <c r="ID152" i="4"/>
  <c r="IE152" i="4"/>
  <c r="IE153" i="4" s="1"/>
  <c r="IE154" i="4" s="1"/>
  <c r="IE155" i="4" s="1"/>
  <c r="IE156" i="4" s="1"/>
  <c r="IE157" i="4" s="1"/>
  <c r="IE158" i="4" s="1"/>
  <c r="IE159" i="4" s="1"/>
  <c r="IE160" i="4" s="1"/>
  <c r="IE161" i="4" s="1"/>
  <c r="IE162" i="4" s="1"/>
  <c r="IE163" i="4" s="1"/>
  <c r="IE164" i="4" s="1"/>
  <c r="IE165" i="4" s="1"/>
  <c r="IE166" i="4" s="1"/>
  <c r="IE167" i="4" s="1"/>
  <c r="IE168" i="4" s="1"/>
  <c r="IE169" i="4" s="1"/>
  <c r="IE170" i="4" s="1"/>
  <c r="IE171" i="4" s="1"/>
  <c r="IE172" i="4" s="1"/>
  <c r="IE173" i="4" s="1"/>
  <c r="IE174" i="4" s="1"/>
  <c r="IE175" i="4" s="1"/>
  <c r="IE176" i="4" s="1"/>
  <c r="IE177" i="4" s="1"/>
  <c r="IE178" i="4" s="1"/>
  <c r="IE179" i="4" s="1"/>
  <c r="IE180" i="4" s="1"/>
  <c r="IE181" i="4" s="1"/>
  <c r="IE182" i="4" s="1"/>
  <c r="IE183" i="4" s="1"/>
  <c r="IE184" i="4" s="1"/>
  <c r="IE185" i="4" s="1"/>
  <c r="IE186" i="4" s="1"/>
  <c r="IE187" i="4" s="1"/>
  <c r="IE188" i="4" s="1"/>
  <c r="IE189" i="4" s="1"/>
  <c r="IE190" i="4" s="1"/>
  <c r="IE191" i="4" s="1"/>
  <c r="IE192" i="4" s="1"/>
  <c r="IE193" i="4" s="1"/>
  <c r="IE194" i="4" s="1"/>
  <c r="IE195" i="4" s="1"/>
  <c r="IE196" i="4" s="1"/>
  <c r="IE197" i="4" s="1"/>
  <c r="IE198" i="4" s="1"/>
  <c r="IE199" i="4" s="1"/>
  <c r="IE200" i="4" s="1"/>
  <c r="IE201" i="4" s="1"/>
  <c r="IE202" i="4" s="1"/>
  <c r="IF152" i="4"/>
  <c r="IG152" i="4"/>
  <c r="HL153" i="4"/>
  <c r="HM153" i="4"/>
  <c r="HN153" i="4"/>
  <c r="HO153" i="4"/>
  <c r="HP153" i="4"/>
  <c r="HQ153" i="4"/>
  <c r="HR153" i="4"/>
  <c r="HT153" i="4"/>
  <c r="HU153" i="4"/>
  <c r="HX153" i="4"/>
  <c r="HY153" i="4"/>
  <c r="HZ153" i="4"/>
  <c r="IA153" i="4"/>
  <c r="IB153" i="4"/>
  <c r="IC153" i="4"/>
  <c r="ID153" i="4"/>
  <c r="IF153" i="4"/>
  <c r="IG153" i="4"/>
  <c r="HL154" i="4"/>
  <c r="HM154" i="4"/>
  <c r="HN154" i="4"/>
  <c r="HO154" i="4"/>
  <c r="HP154" i="4"/>
  <c r="HQ154" i="4"/>
  <c r="HR154" i="4"/>
  <c r="HT154" i="4"/>
  <c r="HU154" i="4"/>
  <c r="HX154" i="4"/>
  <c r="HY154" i="4"/>
  <c r="HZ154" i="4"/>
  <c r="IA154" i="4"/>
  <c r="IB154" i="4"/>
  <c r="IC154" i="4"/>
  <c r="ID154" i="4"/>
  <c r="IF154" i="4"/>
  <c r="IG154" i="4"/>
  <c r="HL155" i="4"/>
  <c r="HM155" i="4"/>
  <c r="HN155" i="4"/>
  <c r="HO155" i="4"/>
  <c r="HP155" i="4"/>
  <c r="HQ155" i="4"/>
  <c r="HR155" i="4"/>
  <c r="HT155" i="4"/>
  <c r="HU155" i="4"/>
  <c r="HX155" i="4"/>
  <c r="HY155" i="4"/>
  <c r="HZ155" i="4"/>
  <c r="IA155" i="4"/>
  <c r="IB155" i="4"/>
  <c r="IC155" i="4"/>
  <c r="ID155" i="4"/>
  <c r="IF155" i="4"/>
  <c r="IG155" i="4"/>
  <c r="HL156" i="4"/>
  <c r="HM156" i="4"/>
  <c r="HN156" i="4"/>
  <c r="HO156" i="4"/>
  <c r="HP156" i="4"/>
  <c r="HQ156" i="4"/>
  <c r="HR156" i="4"/>
  <c r="HT156" i="4"/>
  <c r="HU156" i="4"/>
  <c r="HX156" i="4"/>
  <c r="HY156" i="4"/>
  <c r="HZ156" i="4"/>
  <c r="IA156" i="4"/>
  <c r="IB156" i="4"/>
  <c r="IC156" i="4"/>
  <c r="ID156" i="4"/>
  <c r="IF156" i="4"/>
  <c r="IG156" i="4"/>
  <c r="HL157" i="4"/>
  <c r="HM157" i="4"/>
  <c r="HN157" i="4"/>
  <c r="HO157" i="4"/>
  <c r="HP157" i="4"/>
  <c r="HQ157" i="4"/>
  <c r="HR157" i="4"/>
  <c r="HT157" i="4"/>
  <c r="HU157" i="4"/>
  <c r="HX157" i="4"/>
  <c r="HY157" i="4"/>
  <c r="HZ157" i="4"/>
  <c r="IA157" i="4"/>
  <c r="IB157" i="4"/>
  <c r="IC157" i="4"/>
  <c r="ID157" i="4"/>
  <c r="IF157" i="4"/>
  <c r="IG157" i="4"/>
  <c r="HL158" i="4"/>
  <c r="HM158" i="4"/>
  <c r="HN158" i="4"/>
  <c r="HO158" i="4"/>
  <c r="HP158" i="4"/>
  <c r="HQ158" i="4"/>
  <c r="HR158" i="4"/>
  <c r="HT158" i="4"/>
  <c r="HU158" i="4"/>
  <c r="HX158" i="4"/>
  <c r="HY158" i="4"/>
  <c r="HZ158" i="4"/>
  <c r="IA158" i="4"/>
  <c r="IB158" i="4"/>
  <c r="IC158" i="4"/>
  <c r="ID158" i="4"/>
  <c r="IF158" i="4"/>
  <c r="IG158" i="4"/>
  <c r="HL159" i="4"/>
  <c r="HM159" i="4"/>
  <c r="HN159" i="4"/>
  <c r="HO159" i="4"/>
  <c r="HP159" i="4"/>
  <c r="HQ159" i="4"/>
  <c r="HR159" i="4"/>
  <c r="HT159" i="4"/>
  <c r="HU159" i="4"/>
  <c r="HX159" i="4"/>
  <c r="HY159" i="4"/>
  <c r="HZ159" i="4"/>
  <c r="IA159" i="4"/>
  <c r="IB159" i="4"/>
  <c r="IC159" i="4"/>
  <c r="ID159" i="4"/>
  <c r="IF159" i="4"/>
  <c r="IG159" i="4"/>
  <c r="HL160" i="4"/>
  <c r="HM160" i="4"/>
  <c r="HN160" i="4"/>
  <c r="HO160" i="4"/>
  <c r="HP160" i="4"/>
  <c r="HQ160" i="4"/>
  <c r="HR160" i="4"/>
  <c r="HT160" i="4"/>
  <c r="HU160" i="4"/>
  <c r="HX160" i="4"/>
  <c r="HY160" i="4"/>
  <c r="HZ160" i="4"/>
  <c r="IA160" i="4"/>
  <c r="IB160" i="4"/>
  <c r="IC160" i="4"/>
  <c r="ID160" i="4"/>
  <c r="IF160" i="4"/>
  <c r="IG160" i="4"/>
  <c r="HL161" i="4"/>
  <c r="HM161" i="4"/>
  <c r="HN161" i="4"/>
  <c r="HO161" i="4"/>
  <c r="HP161" i="4"/>
  <c r="HQ161" i="4"/>
  <c r="HR161" i="4"/>
  <c r="HT161" i="4"/>
  <c r="HU161" i="4"/>
  <c r="HX161" i="4"/>
  <c r="HY161" i="4"/>
  <c r="HZ161" i="4"/>
  <c r="IA161" i="4"/>
  <c r="IB161" i="4"/>
  <c r="IC161" i="4"/>
  <c r="ID161" i="4"/>
  <c r="IF161" i="4"/>
  <c r="IG161" i="4"/>
  <c r="HL162" i="4"/>
  <c r="HM162" i="4"/>
  <c r="HN162" i="4"/>
  <c r="HO162" i="4"/>
  <c r="HP162" i="4"/>
  <c r="HQ162" i="4"/>
  <c r="HR162" i="4"/>
  <c r="HT162" i="4"/>
  <c r="HU162" i="4"/>
  <c r="HX162" i="4"/>
  <c r="HY162" i="4"/>
  <c r="HZ162" i="4"/>
  <c r="IA162" i="4"/>
  <c r="IB162" i="4"/>
  <c r="IC162" i="4"/>
  <c r="ID162" i="4"/>
  <c r="IF162" i="4"/>
  <c r="IG162" i="4"/>
  <c r="HL163" i="4"/>
  <c r="HM163" i="4"/>
  <c r="HN163" i="4"/>
  <c r="HO163" i="4"/>
  <c r="HP163" i="4"/>
  <c r="HQ163" i="4"/>
  <c r="HR163" i="4"/>
  <c r="HT163" i="4"/>
  <c r="HU163" i="4"/>
  <c r="HX163" i="4"/>
  <c r="HY163" i="4"/>
  <c r="HZ163" i="4"/>
  <c r="IA163" i="4"/>
  <c r="IB163" i="4"/>
  <c r="IC163" i="4"/>
  <c r="ID163" i="4"/>
  <c r="IF163" i="4"/>
  <c r="IG163" i="4"/>
  <c r="HL164" i="4"/>
  <c r="HM164" i="4"/>
  <c r="HN164" i="4"/>
  <c r="HO164" i="4"/>
  <c r="HP164" i="4"/>
  <c r="HQ164" i="4"/>
  <c r="HR164" i="4"/>
  <c r="HT164" i="4"/>
  <c r="HU164" i="4"/>
  <c r="HX164" i="4"/>
  <c r="HY164" i="4"/>
  <c r="HZ164" i="4"/>
  <c r="IA164" i="4"/>
  <c r="IB164" i="4"/>
  <c r="IC164" i="4"/>
  <c r="ID164" i="4"/>
  <c r="IF164" i="4"/>
  <c r="IG164" i="4"/>
  <c r="HL165" i="4"/>
  <c r="HM165" i="4"/>
  <c r="HN165" i="4"/>
  <c r="HO165" i="4"/>
  <c r="HP165" i="4"/>
  <c r="HQ165" i="4"/>
  <c r="HR165" i="4"/>
  <c r="HT165" i="4"/>
  <c r="HU165" i="4"/>
  <c r="HX165" i="4"/>
  <c r="HY165" i="4"/>
  <c r="HZ165" i="4"/>
  <c r="IA165" i="4"/>
  <c r="IB165" i="4"/>
  <c r="IC165" i="4"/>
  <c r="ID165" i="4"/>
  <c r="IF165" i="4"/>
  <c r="IG165" i="4"/>
  <c r="HL166" i="4"/>
  <c r="HM166" i="4"/>
  <c r="HN166" i="4"/>
  <c r="HO166" i="4"/>
  <c r="HP166" i="4"/>
  <c r="HQ166" i="4"/>
  <c r="HR166" i="4"/>
  <c r="HT166" i="4"/>
  <c r="HU166" i="4"/>
  <c r="HX166" i="4"/>
  <c r="HY166" i="4"/>
  <c r="HZ166" i="4"/>
  <c r="IA166" i="4"/>
  <c r="IB166" i="4"/>
  <c r="IC166" i="4"/>
  <c r="ID166" i="4"/>
  <c r="IF166" i="4"/>
  <c r="IG166" i="4"/>
  <c r="HL167" i="4"/>
  <c r="HM167" i="4"/>
  <c r="HN167" i="4"/>
  <c r="HO167" i="4"/>
  <c r="HP167" i="4"/>
  <c r="HQ167" i="4"/>
  <c r="HR167" i="4"/>
  <c r="HT167" i="4"/>
  <c r="HU167" i="4"/>
  <c r="HX167" i="4"/>
  <c r="HY167" i="4"/>
  <c r="HZ167" i="4"/>
  <c r="IA167" i="4"/>
  <c r="IB167" i="4"/>
  <c r="IC167" i="4"/>
  <c r="ID167" i="4"/>
  <c r="IF167" i="4"/>
  <c r="IG167" i="4"/>
  <c r="HL168" i="4"/>
  <c r="HM168" i="4"/>
  <c r="HN168" i="4"/>
  <c r="HO168" i="4"/>
  <c r="HP168" i="4"/>
  <c r="HQ168" i="4"/>
  <c r="HR168" i="4"/>
  <c r="HT168" i="4"/>
  <c r="HU168" i="4"/>
  <c r="HX168" i="4"/>
  <c r="HY168" i="4"/>
  <c r="HZ168" i="4"/>
  <c r="IA168" i="4"/>
  <c r="IB168" i="4"/>
  <c r="IC168" i="4"/>
  <c r="ID168" i="4"/>
  <c r="IF168" i="4"/>
  <c r="IG168" i="4"/>
  <c r="HL169" i="4"/>
  <c r="HM169" i="4"/>
  <c r="HN169" i="4"/>
  <c r="HO169" i="4"/>
  <c r="HP169" i="4"/>
  <c r="HQ169" i="4"/>
  <c r="HR169" i="4"/>
  <c r="HT169" i="4"/>
  <c r="HU169" i="4"/>
  <c r="HX169" i="4"/>
  <c r="HY169" i="4"/>
  <c r="HZ169" i="4"/>
  <c r="IA169" i="4"/>
  <c r="IB169" i="4"/>
  <c r="IC169" i="4"/>
  <c r="ID169" i="4"/>
  <c r="IF169" i="4"/>
  <c r="IG169" i="4"/>
  <c r="HL170" i="4"/>
  <c r="HM170" i="4"/>
  <c r="HN170" i="4"/>
  <c r="HO170" i="4"/>
  <c r="HP170" i="4"/>
  <c r="HQ170" i="4"/>
  <c r="HR170" i="4"/>
  <c r="HT170" i="4"/>
  <c r="HU170" i="4"/>
  <c r="HX170" i="4"/>
  <c r="HY170" i="4"/>
  <c r="HZ170" i="4"/>
  <c r="IA170" i="4"/>
  <c r="IB170" i="4"/>
  <c r="IC170" i="4"/>
  <c r="ID170" i="4"/>
  <c r="IF170" i="4"/>
  <c r="IG170" i="4"/>
  <c r="HL171" i="4"/>
  <c r="HM171" i="4"/>
  <c r="HN171" i="4"/>
  <c r="HO171" i="4"/>
  <c r="HP171" i="4"/>
  <c r="HQ171" i="4"/>
  <c r="HR171" i="4"/>
  <c r="HT171" i="4"/>
  <c r="HU171" i="4"/>
  <c r="HX171" i="4"/>
  <c r="HY171" i="4"/>
  <c r="HZ171" i="4"/>
  <c r="IA171" i="4"/>
  <c r="IB171" i="4"/>
  <c r="IC171" i="4"/>
  <c r="ID171" i="4"/>
  <c r="IF171" i="4"/>
  <c r="IG171" i="4"/>
  <c r="HL172" i="4"/>
  <c r="HM172" i="4"/>
  <c r="HN172" i="4"/>
  <c r="HO172" i="4"/>
  <c r="HP172" i="4"/>
  <c r="HQ172" i="4"/>
  <c r="HR172" i="4"/>
  <c r="HT172" i="4"/>
  <c r="HU172" i="4"/>
  <c r="HX172" i="4"/>
  <c r="HY172" i="4"/>
  <c r="HZ172" i="4"/>
  <c r="IA172" i="4"/>
  <c r="IB172" i="4"/>
  <c r="IC172" i="4"/>
  <c r="ID172" i="4"/>
  <c r="IF172" i="4"/>
  <c r="IG172" i="4"/>
  <c r="HL173" i="4"/>
  <c r="HM173" i="4"/>
  <c r="HN173" i="4"/>
  <c r="HO173" i="4"/>
  <c r="HP173" i="4"/>
  <c r="HQ173" i="4"/>
  <c r="HR173" i="4"/>
  <c r="HT173" i="4"/>
  <c r="HU173" i="4"/>
  <c r="HX173" i="4"/>
  <c r="HY173" i="4"/>
  <c r="HZ173" i="4"/>
  <c r="IA173" i="4"/>
  <c r="IB173" i="4"/>
  <c r="IC173" i="4"/>
  <c r="ID173" i="4"/>
  <c r="IF173" i="4"/>
  <c r="IG173" i="4"/>
  <c r="HL174" i="4"/>
  <c r="HM174" i="4"/>
  <c r="HN174" i="4"/>
  <c r="HO174" i="4"/>
  <c r="HP174" i="4"/>
  <c r="HQ174" i="4"/>
  <c r="HR174" i="4"/>
  <c r="HT174" i="4"/>
  <c r="HU174" i="4"/>
  <c r="HX174" i="4"/>
  <c r="HY174" i="4"/>
  <c r="HZ174" i="4"/>
  <c r="IA174" i="4"/>
  <c r="IB174" i="4"/>
  <c r="IC174" i="4"/>
  <c r="ID174" i="4"/>
  <c r="IF174" i="4"/>
  <c r="IG174" i="4"/>
  <c r="HL175" i="4"/>
  <c r="HM175" i="4"/>
  <c r="HN175" i="4"/>
  <c r="HO175" i="4"/>
  <c r="HP175" i="4"/>
  <c r="HQ175" i="4"/>
  <c r="HR175" i="4"/>
  <c r="HT175" i="4"/>
  <c r="HU175" i="4"/>
  <c r="HX175" i="4"/>
  <c r="HY175" i="4"/>
  <c r="HZ175" i="4"/>
  <c r="IA175" i="4"/>
  <c r="IB175" i="4"/>
  <c r="IC175" i="4"/>
  <c r="ID175" i="4"/>
  <c r="IF175" i="4"/>
  <c r="IG175" i="4"/>
  <c r="HL176" i="4"/>
  <c r="HM176" i="4"/>
  <c r="HN176" i="4"/>
  <c r="HO176" i="4"/>
  <c r="HP176" i="4"/>
  <c r="HQ176" i="4"/>
  <c r="HR176" i="4"/>
  <c r="HT176" i="4"/>
  <c r="HU176" i="4"/>
  <c r="HX176" i="4"/>
  <c r="HY176" i="4"/>
  <c r="HZ176" i="4"/>
  <c r="IA176" i="4"/>
  <c r="IB176" i="4"/>
  <c r="IC176" i="4"/>
  <c r="ID176" i="4"/>
  <c r="IF176" i="4"/>
  <c r="IG176" i="4"/>
  <c r="HL177" i="4"/>
  <c r="HM177" i="4"/>
  <c r="HN177" i="4"/>
  <c r="HO177" i="4"/>
  <c r="HP177" i="4"/>
  <c r="HQ177" i="4"/>
  <c r="HR177" i="4"/>
  <c r="HT177" i="4"/>
  <c r="HU177" i="4"/>
  <c r="HX177" i="4"/>
  <c r="HY177" i="4"/>
  <c r="HZ177" i="4"/>
  <c r="IA177" i="4"/>
  <c r="IB177" i="4"/>
  <c r="IC177" i="4"/>
  <c r="ID177" i="4"/>
  <c r="IF177" i="4"/>
  <c r="IG177" i="4"/>
  <c r="HL178" i="4"/>
  <c r="HM178" i="4"/>
  <c r="HN178" i="4"/>
  <c r="HO178" i="4"/>
  <c r="HP178" i="4"/>
  <c r="HQ178" i="4"/>
  <c r="HR178" i="4"/>
  <c r="HT178" i="4"/>
  <c r="HU178" i="4"/>
  <c r="HX178" i="4"/>
  <c r="HY178" i="4"/>
  <c r="HZ178" i="4"/>
  <c r="IA178" i="4"/>
  <c r="IB178" i="4"/>
  <c r="IC178" i="4"/>
  <c r="ID178" i="4"/>
  <c r="IF178" i="4"/>
  <c r="IG178" i="4"/>
  <c r="HL179" i="4"/>
  <c r="HM179" i="4"/>
  <c r="HN179" i="4"/>
  <c r="HO179" i="4"/>
  <c r="HP179" i="4"/>
  <c r="HQ179" i="4"/>
  <c r="HR179" i="4"/>
  <c r="HT179" i="4"/>
  <c r="HU179" i="4"/>
  <c r="HX179" i="4"/>
  <c r="HY179" i="4"/>
  <c r="HZ179" i="4"/>
  <c r="IA179" i="4"/>
  <c r="IB179" i="4"/>
  <c r="IC179" i="4"/>
  <c r="ID179" i="4"/>
  <c r="IF179" i="4"/>
  <c r="IG179" i="4"/>
  <c r="HL180" i="4"/>
  <c r="HM180" i="4"/>
  <c r="HN180" i="4"/>
  <c r="HO180" i="4"/>
  <c r="HP180" i="4"/>
  <c r="HQ180" i="4"/>
  <c r="HR180" i="4"/>
  <c r="HT180" i="4"/>
  <c r="HU180" i="4"/>
  <c r="HX180" i="4"/>
  <c r="HY180" i="4"/>
  <c r="HZ180" i="4"/>
  <c r="IA180" i="4"/>
  <c r="IB180" i="4"/>
  <c r="IC180" i="4"/>
  <c r="ID180" i="4"/>
  <c r="IF180" i="4"/>
  <c r="IG180" i="4"/>
  <c r="HL181" i="4"/>
  <c r="HM181" i="4"/>
  <c r="HN181" i="4"/>
  <c r="HO181" i="4"/>
  <c r="HP181" i="4"/>
  <c r="HQ181" i="4"/>
  <c r="HR181" i="4"/>
  <c r="HT181" i="4"/>
  <c r="HU181" i="4"/>
  <c r="HX181" i="4"/>
  <c r="HY181" i="4"/>
  <c r="HZ181" i="4"/>
  <c r="IA181" i="4"/>
  <c r="IB181" i="4"/>
  <c r="IC181" i="4"/>
  <c r="ID181" i="4"/>
  <c r="IF181" i="4"/>
  <c r="IG181" i="4"/>
  <c r="HL182" i="4"/>
  <c r="HM182" i="4"/>
  <c r="HN182" i="4"/>
  <c r="HO182" i="4"/>
  <c r="HP182" i="4"/>
  <c r="HQ182" i="4"/>
  <c r="HR182" i="4"/>
  <c r="HT182" i="4"/>
  <c r="HU182" i="4"/>
  <c r="HX182" i="4"/>
  <c r="HY182" i="4"/>
  <c r="HZ182" i="4"/>
  <c r="IA182" i="4"/>
  <c r="IB182" i="4"/>
  <c r="IC182" i="4"/>
  <c r="ID182" i="4"/>
  <c r="IF182" i="4"/>
  <c r="IG182" i="4"/>
  <c r="HL183" i="4"/>
  <c r="HM183" i="4"/>
  <c r="HN183" i="4"/>
  <c r="HO183" i="4"/>
  <c r="HP183" i="4"/>
  <c r="HQ183" i="4"/>
  <c r="HR183" i="4"/>
  <c r="HT183" i="4"/>
  <c r="HU183" i="4"/>
  <c r="HX183" i="4"/>
  <c r="HY183" i="4"/>
  <c r="HZ183" i="4"/>
  <c r="IA183" i="4"/>
  <c r="IB183" i="4"/>
  <c r="IC183" i="4"/>
  <c r="ID183" i="4"/>
  <c r="IF183" i="4"/>
  <c r="IG183" i="4"/>
  <c r="HL184" i="4"/>
  <c r="HM184" i="4"/>
  <c r="HN184" i="4"/>
  <c r="HO184" i="4"/>
  <c r="HP184" i="4"/>
  <c r="HQ184" i="4"/>
  <c r="HR184" i="4"/>
  <c r="HT184" i="4"/>
  <c r="HU184" i="4"/>
  <c r="HX184" i="4"/>
  <c r="HY184" i="4"/>
  <c r="HZ184" i="4"/>
  <c r="IA184" i="4"/>
  <c r="IB184" i="4"/>
  <c r="IC184" i="4"/>
  <c r="ID184" i="4"/>
  <c r="IF184" i="4"/>
  <c r="IG184" i="4"/>
  <c r="HL185" i="4"/>
  <c r="HM185" i="4"/>
  <c r="HN185" i="4"/>
  <c r="HO185" i="4"/>
  <c r="HP185" i="4"/>
  <c r="HQ185" i="4"/>
  <c r="HR185" i="4"/>
  <c r="HT185" i="4"/>
  <c r="HU185" i="4"/>
  <c r="HX185" i="4"/>
  <c r="HY185" i="4"/>
  <c r="HZ185" i="4"/>
  <c r="IA185" i="4"/>
  <c r="IB185" i="4"/>
  <c r="IC185" i="4"/>
  <c r="ID185" i="4"/>
  <c r="IF185" i="4"/>
  <c r="IG185" i="4"/>
  <c r="HL186" i="4"/>
  <c r="HM186" i="4"/>
  <c r="HN186" i="4"/>
  <c r="HO186" i="4"/>
  <c r="HP186" i="4"/>
  <c r="HQ186" i="4"/>
  <c r="HR186" i="4"/>
  <c r="HT186" i="4"/>
  <c r="HU186" i="4"/>
  <c r="HX186" i="4"/>
  <c r="HY186" i="4"/>
  <c r="HZ186" i="4"/>
  <c r="IA186" i="4"/>
  <c r="IB186" i="4"/>
  <c r="IC186" i="4"/>
  <c r="ID186" i="4"/>
  <c r="IF186" i="4"/>
  <c r="IG186" i="4"/>
  <c r="HL187" i="4"/>
  <c r="HM187" i="4"/>
  <c r="HN187" i="4"/>
  <c r="HO187" i="4"/>
  <c r="HP187" i="4"/>
  <c r="HQ187" i="4"/>
  <c r="HR187" i="4"/>
  <c r="HT187" i="4"/>
  <c r="HU187" i="4"/>
  <c r="HX187" i="4"/>
  <c r="HY187" i="4"/>
  <c r="HZ187" i="4"/>
  <c r="IA187" i="4"/>
  <c r="IB187" i="4"/>
  <c r="IC187" i="4"/>
  <c r="ID187" i="4"/>
  <c r="IF187" i="4"/>
  <c r="IG187" i="4"/>
  <c r="HL188" i="4"/>
  <c r="HM188" i="4"/>
  <c r="HN188" i="4"/>
  <c r="HO188" i="4"/>
  <c r="HP188" i="4"/>
  <c r="HQ188" i="4"/>
  <c r="HR188" i="4"/>
  <c r="HT188" i="4"/>
  <c r="HU188" i="4"/>
  <c r="HX188" i="4"/>
  <c r="HY188" i="4"/>
  <c r="HZ188" i="4"/>
  <c r="IA188" i="4"/>
  <c r="IB188" i="4"/>
  <c r="IC188" i="4"/>
  <c r="ID188" i="4"/>
  <c r="IF188" i="4"/>
  <c r="IG188" i="4"/>
  <c r="HL189" i="4"/>
  <c r="HM189" i="4"/>
  <c r="HN189" i="4"/>
  <c r="HO189" i="4"/>
  <c r="HP189" i="4"/>
  <c r="HQ189" i="4"/>
  <c r="HR189" i="4"/>
  <c r="HT189" i="4"/>
  <c r="HU189" i="4"/>
  <c r="HX189" i="4"/>
  <c r="HY189" i="4"/>
  <c r="HZ189" i="4"/>
  <c r="IA189" i="4"/>
  <c r="IB189" i="4"/>
  <c r="IC189" i="4"/>
  <c r="ID189" i="4"/>
  <c r="IF189" i="4"/>
  <c r="IG189" i="4"/>
  <c r="HL190" i="4"/>
  <c r="HM190" i="4"/>
  <c r="HN190" i="4"/>
  <c r="HO190" i="4"/>
  <c r="HP190" i="4"/>
  <c r="HQ190" i="4"/>
  <c r="HR190" i="4"/>
  <c r="HT190" i="4"/>
  <c r="HU190" i="4"/>
  <c r="HX190" i="4"/>
  <c r="HY190" i="4"/>
  <c r="HZ190" i="4"/>
  <c r="IA190" i="4"/>
  <c r="IB190" i="4"/>
  <c r="IC190" i="4"/>
  <c r="ID190" i="4"/>
  <c r="IF190" i="4"/>
  <c r="IG190" i="4"/>
  <c r="HL191" i="4"/>
  <c r="HM191" i="4"/>
  <c r="HN191" i="4"/>
  <c r="HO191" i="4"/>
  <c r="HP191" i="4"/>
  <c r="HQ191" i="4"/>
  <c r="HR191" i="4"/>
  <c r="HT191" i="4"/>
  <c r="HU191" i="4"/>
  <c r="HX191" i="4"/>
  <c r="HY191" i="4"/>
  <c r="HZ191" i="4"/>
  <c r="IA191" i="4"/>
  <c r="IB191" i="4"/>
  <c r="IC191" i="4"/>
  <c r="ID191" i="4"/>
  <c r="IF191" i="4"/>
  <c r="IG191" i="4"/>
  <c r="HL192" i="4"/>
  <c r="HM192" i="4"/>
  <c r="HN192" i="4"/>
  <c r="HO192" i="4"/>
  <c r="HP192" i="4"/>
  <c r="HQ192" i="4"/>
  <c r="HR192" i="4"/>
  <c r="HT192" i="4"/>
  <c r="HU192" i="4"/>
  <c r="HX192" i="4"/>
  <c r="HY192" i="4"/>
  <c r="HZ192" i="4"/>
  <c r="IA192" i="4"/>
  <c r="IB192" i="4"/>
  <c r="IC192" i="4"/>
  <c r="ID192" i="4"/>
  <c r="IF192" i="4"/>
  <c r="IG192" i="4"/>
  <c r="HL193" i="4"/>
  <c r="HM193" i="4"/>
  <c r="HN193" i="4"/>
  <c r="HO193" i="4"/>
  <c r="HP193" i="4"/>
  <c r="HQ193" i="4"/>
  <c r="HR193" i="4"/>
  <c r="HT193" i="4"/>
  <c r="HU193" i="4"/>
  <c r="HX193" i="4"/>
  <c r="HY193" i="4"/>
  <c r="HZ193" i="4"/>
  <c r="IA193" i="4"/>
  <c r="IB193" i="4"/>
  <c r="IC193" i="4"/>
  <c r="ID193" i="4"/>
  <c r="IF193" i="4"/>
  <c r="IG193" i="4"/>
  <c r="HL194" i="4"/>
  <c r="HM194" i="4"/>
  <c r="HN194" i="4"/>
  <c r="HO194" i="4"/>
  <c r="HP194" i="4"/>
  <c r="HQ194" i="4"/>
  <c r="HR194" i="4"/>
  <c r="HT194" i="4"/>
  <c r="HU194" i="4"/>
  <c r="HX194" i="4"/>
  <c r="HY194" i="4"/>
  <c r="HZ194" i="4"/>
  <c r="IA194" i="4"/>
  <c r="IB194" i="4"/>
  <c r="IC194" i="4"/>
  <c r="ID194" i="4"/>
  <c r="IF194" i="4"/>
  <c r="IG194" i="4"/>
  <c r="HL195" i="4"/>
  <c r="HM195" i="4"/>
  <c r="HN195" i="4"/>
  <c r="HO195" i="4"/>
  <c r="HP195" i="4"/>
  <c r="HQ195" i="4"/>
  <c r="HR195" i="4"/>
  <c r="HT195" i="4"/>
  <c r="HU195" i="4"/>
  <c r="HX195" i="4"/>
  <c r="HY195" i="4"/>
  <c r="HZ195" i="4"/>
  <c r="IA195" i="4"/>
  <c r="IB195" i="4"/>
  <c r="IC195" i="4"/>
  <c r="ID195" i="4"/>
  <c r="IF195" i="4"/>
  <c r="IG195" i="4"/>
  <c r="HL196" i="4"/>
  <c r="HM196" i="4"/>
  <c r="HN196" i="4"/>
  <c r="HO196" i="4"/>
  <c r="HP196" i="4"/>
  <c r="HQ196" i="4"/>
  <c r="HR196" i="4"/>
  <c r="HT196" i="4"/>
  <c r="HU196" i="4"/>
  <c r="HX196" i="4"/>
  <c r="HY196" i="4"/>
  <c r="HZ196" i="4"/>
  <c r="IA196" i="4"/>
  <c r="IB196" i="4"/>
  <c r="IC196" i="4"/>
  <c r="ID196" i="4"/>
  <c r="IF196" i="4"/>
  <c r="IG196" i="4"/>
  <c r="HL197" i="4"/>
  <c r="HM197" i="4"/>
  <c r="HN197" i="4"/>
  <c r="HO197" i="4"/>
  <c r="HP197" i="4"/>
  <c r="HQ197" i="4"/>
  <c r="HR197" i="4"/>
  <c r="HT197" i="4"/>
  <c r="HU197" i="4"/>
  <c r="HX197" i="4"/>
  <c r="HY197" i="4"/>
  <c r="HZ197" i="4"/>
  <c r="IA197" i="4"/>
  <c r="IB197" i="4"/>
  <c r="IC197" i="4"/>
  <c r="ID197" i="4"/>
  <c r="IF197" i="4"/>
  <c r="IG197" i="4"/>
  <c r="HL198" i="4"/>
  <c r="HM198" i="4"/>
  <c r="HN198" i="4"/>
  <c r="HO198" i="4"/>
  <c r="HP198" i="4"/>
  <c r="HQ198" i="4"/>
  <c r="HR198" i="4"/>
  <c r="HT198" i="4"/>
  <c r="HU198" i="4"/>
  <c r="HX198" i="4"/>
  <c r="HY198" i="4"/>
  <c r="HZ198" i="4"/>
  <c r="IA198" i="4"/>
  <c r="IB198" i="4"/>
  <c r="IC198" i="4"/>
  <c r="ID198" i="4"/>
  <c r="IF198" i="4"/>
  <c r="IG198" i="4"/>
  <c r="HL199" i="4"/>
  <c r="HM199" i="4"/>
  <c r="HN199" i="4"/>
  <c r="HO199" i="4"/>
  <c r="HP199" i="4"/>
  <c r="HQ199" i="4"/>
  <c r="HR199" i="4"/>
  <c r="HT199" i="4"/>
  <c r="HU199" i="4"/>
  <c r="HX199" i="4"/>
  <c r="HY199" i="4"/>
  <c r="HZ199" i="4"/>
  <c r="IA199" i="4"/>
  <c r="IB199" i="4"/>
  <c r="IC199" i="4"/>
  <c r="ID199" i="4"/>
  <c r="IF199" i="4"/>
  <c r="IG199" i="4"/>
  <c r="HL200" i="4"/>
  <c r="HM200" i="4"/>
  <c r="HN200" i="4"/>
  <c r="HO200" i="4"/>
  <c r="HP200" i="4"/>
  <c r="HQ200" i="4"/>
  <c r="HR200" i="4"/>
  <c r="HT200" i="4"/>
  <c r="HU200" i="4"/>
  <c r="HX200" i="4"/>
  <c r="HY200" i="4"/>
  <c r="HZ200" i="4"/>
  <c r="IA200" i="4"/>
  <c r="IB200" i="4"/>
  <c r="IC200" i="4"/>
  <c r="ID200" i="4"/>
  <c r="IF200" i="4"/>
  <c r="IG200" i="4"/>
  <c r="HL201" i="4"/>
  <c r="HM201" i="4"/>
  <c r="HN201" i="4"/>
  <c r="HO201" i="4"/>
  <c r="HP201" i="4"/>
  <c r="HQ201" i="4"/>
  <c r="HR201" i="4"/>
  <c r="HT201" i="4"/>
  <c r="HU201" i="4"/>
  <c r="HX201" i="4"/>
  <c r="HY201" i="4"/>
  <c r="HZ201" i="4"/>
  <c r="IA201" i="4"/>
  <c r="IB201" i="4"/>
  <c r="IC201" i="4"/>
  <c r="ID201" i="4"/>
  <c r="IF201" i="4"/>
  <c r="IG201" i="4"/>
  <c r="HL202" i="4"/>
  <c r="HM202" i="4"/>
  <c r="HN202" i="4"/>
  <c r="HO202" i="4"/>
  <c r="HP202" i="4"/>
  <c r="HQ202" i="4"/>
  <c r="HR202" i="4"/>
  <c r="HT202" i="4"/>
  <c r="HU202" i="4"/>
  <c r="HX202" i="4"/>
  <c r="HY202" i="4"/>
  <c r="HZ202" i="4"/>
  <c r="IA202" i="4"/>
  <c r="IB202" i="4"/>
  <c r="IC202" i="4"/>
  <c r="ID202" i="4"/>
  <c r="IF202" i="4"/>
  <c r="IG202" i="4"/>
  <c r="II33" i="4"/>
  <c r="IH33" i="4"/>
  <c r="IG33" i="4"/>
  <c r="IF33" i="4"/>
  <c r="IE33" i="4"/>
  <c r="ID33" i="4"/>
  <c r="IC33" i="4"/>
  <c r="IB33" i="4"/>
  <c r="IA33" i="4"/>
  <c r="HZ33" i="4"/>
  <c r="HX33" i="4"/>
  <c r="HY33" i="4"/>
  <c r="HW33" i="4"/>
  <c r="HV33" i="4"/>
  <c r="HU33" i="4"/>
  <c r="HT33" i="4"/>
  <c r="HS33" i="4"/>
  <c r="HR33" i="4"/>
  <c r="HQ33" i="4"/>
  <c r="HP33" i="4"/>
  <c r="HO33" i="4"/>
  <c r="HN33" i="4"/>
  <c r="HM33" i="4"/>
  <c r="HL33" i="4"/>
  <c r="HL24" i="4"/>
  <c r="HM24" i="4"/>
  <c r="HN24" i="4"/>
  <c r="HO24" i="4"/>
  <c r="HP24" i="4"/>
  <c r="HQ24" i="4"/>
  <c r="HR24" i="4"/>
  <c r="HS24" i="4"/>
  <c r="HT24" i="4"/>
  <c r="HU24" i="4"/>
  <c r="HV24" i="4"/>
  <c r="HW24" i="4"/>
  <c r="HW25" i="4" s="1"/>
  <c r="HW26" i="4" s="1"/>
  <c r="HW27" i="4" s="1"/>
  <c r="HW28" i="4" s="1"/>
  <c r="HW29" i="4" s="1"/>
  <c r="HW30" i="4" s="1"/>
  <c r="HW31" i="4" s="1"/>
  <c r="HW32" i="4" s="1"/>
  <c r="HX24" i="4"/>
  <c r="HY24" i="4"/>
  <c r="HZ24" i="4"/>
  <c r="IA24" i="4"/>
  <c r="IB24" i="4"/>
  <c r="IC24" i="4"/>
  <c r="ID24" i="4"/>
  <c r="IE24" i="4"/>
  <c r="IF24" i="4"/>
  <c r="IG24" i="4"/>
  <c r="IH24" i="4"/>
  <c r="II24" i="4"/>
  <c r="HL25" i="4"/>
  <c r="HM25" i="4"/>
  <c r="HN25" i="4"/>
  <c r="HO25" i="4"/>
  <c r="HP25" i="4"/>
  <c r="HQ25" i="4"/>
  <c r="HR25" i="4"/>
  <c r="HS25" i="4"/>
  <c r="HT25" i="4"/>
  <c r="HU25" i="4"/>
  <c r="HV25" i="4"/>
  <c r="HX25" i="4"/>
  <c r="HY25" i="4"/>
  <c r="HZ25" i="4"/>
  <c r="IA25" i="4"/>
  <c r="IB25" i="4"/>
  <c r="IC25" i="4"/>
  <c r="ID25" i="4"/>
  <c r="IE25" i="4"/>
  <c r="IF25" i="4"/>
  <c r="IG25" i="4"/>
  <c r="IH25" i="4"/>
  <c r="II25" i="4"/>
  <c r="II26" i="4" s="1"/>
  <c r="II27" i="4" s="1"/>
  <c r="II28" i="4" s="1"/>
  <c r="II29" i="4" s="1"/>
  <c r="II30" i="4" s="1"/>
  <c r="II31" i="4" s="1"/>
  <c r="II32" i="4" s="1"/>
  <c r="HL26" i="4"/>
  <c r="HM26" i="4"/>
  <c r="HN26" i="4"/>
  <c r="HO26" i="4"/>
  <c r="HP26" i="4"/>
  <c r="HQ26" i="4"/>
  <c r="HR26" i="4"/>
  <c r="HS26" i="4"/>
  <c r="HT26" i="4"/>
  <c r="HU26" i="4"/>
  <c r="HV26" i="4"/>
  <c r="HX26" i="4"/>
  <c r="HY26" i="4"/>
  <c r="HZ26" i="4"/>
  <c r="IA26" i="4"/>
  <c r="IB26" i="4"/>
  <c r="IC26" i="4"/>
  <c r="ID26" i="4"/>
  <c r="IE26" i="4"/>
  <c r="IF26" i="4"/>
  <c r="IG26" i="4"/>
  <c r="IH26" i="4"/>
  <c r="HL27" i="4"/>
  <c r="HM27" i="4"/>
  <c r="HN27" i="4"/>
  <c r="HO27" i="4"/>
  <c r="HP27" i="4"/>
  <c r="HQ27" i="4"/>
  <c r="HR27" i="4"/>
  <c r="HS27" i="4"/>
  <c r="HT27" i="4"/>
  <c r="HU27" i="4"/>
  <c r="HV27" i="4"/>
  <c r="HX27" i="4"/>
  <c r="HY27" i="4"/>
  <c r="HZ27" i="4"/>
  <c r="IA27" i="4"/>
  <c r="IB27" i="4"/>
  <c r="IC27" i="4"/>
  <c r="ID27" i="4"/>
  <c r="IE27" i="4"/>
  <c r="IF27" i="4"/>
  <c r="IG27" i="4"/>
  <c r="IH27" i="4"/>
  <c r="HL28" i="4"/>
  <c r="HM28" i="4"/>
  <c r="HN28" i="4"/>
  <c r="HO28" i="4"/>
  <c r="HP28" i="4"/>
  <c r="HQ28" i="4"/>
  <c r="HR28" i="4"/>
  <c r="HS28" i="4"/>
  <c r="HT28" i="4"/>
  <c r="HU28" i="4"/>
  <c r="HV28" i="4"/>
  <c r="HX28" i="4"/>
  <c r="HY28" i="4"/>
  <c r="HZ28" i="4"/>
  <c r="IA28" i="4"/>
  <c r="IB28" i="4"/>
  <c r="IC28" i="4"/>
  <c r="ID28" i="4"/>
  <c r="IE28" i="4"/>
  <c r="IF28" i="4"/>
  <c r="IG28" i="4"/>
  <c r="IH28" i="4"/>
  <c r="HL29" i="4"/>
  <c r="HM29" i="4"/>
  <c r="HN29" i="4"/>
  <c r="HO29" i="4"/>
  <c r="HP29" i="4"/>
  <c r="HQ29" i="4"/>
  <c r="HR29" i="4"/>
  <c r="HS29" i="4"/>
  <c r="HT29" i="4"/>
  <c r="HU29" i="4"/>
  <c r="HV29" i="4"/>
  <c r="HX29" i="4"/>
  <c r="HY29" i="4"/>
  <c r="HZ29" i="4"/>
  <c r="IA29" i="4"/>
  <c r="IB29" i="4"/>
  <c r="IC29" i="4"/>
  <c r="ID29" i="4"/>
  <c r="IE29" i="4"/>
  <c r="IF29" i="4"/>
  <c r="IG29" i="4"/>
  <c r="IH29" i="4"/>
  <c r="HL30" i="4"/>
  <c r="HM30" i="4"/>
  <c r="HN30" i="4"/>
  <c r="HO30" i="4"/>
  <c r="HP30" i="4"/>
  <c r="HQ30" i="4"/>
  <c r="HR30" i="4"/>
  <c r="HS30" i="4"/>
  <c r="HT30" i="4"/>
  <c r="HU30" i="4"/>
  <c r="HV30" i="4"/>
  <c r="HX30" i="4"/>
  <c r="HY30" i="4"/>
  <c r="HZ30" i="4"/>
  <c r="IA30" i="4"/>
  <c r="IB30" i="4"/>
  <c r="IC30" i="4"/>
  <c r="ID30" i="4"/>
  <c r="IE30" i="4"/>
  <c r="IF30" i="4"/>
  <c r="IG30" i="4"/>
  <c r="IH30" i="4"/>
  <c r="HL31" i="4"/>
  <c r="HM31" i="4"/>
  <c r="HN31" i="4"/>
  <c r="HO31" i="4"/>
  <c r="HP31" i="4"/>
  <c r="HQ31" i="4"/>
  <c r="HR31" i="4"/>
  <c r="HS31" i="4"/>
  <c r="HT31" i="4"/>
  <c r="HU31" i="4"/>
  <c r="HV31" i="4"/>
  <c r="HX31" i="4"/>
  <c r="HY31" i="4"/>
  <c r="HZ31" i="4"/>
  <c r="IA31" i="4"/>
  <c r="IB31" i="4"/>
  <c r="IC31" i="4"/>
  <c r="ID31" i="4"/>
  <c r="IE31" i="4"/>
  <c r="IF31" i="4"/>
  <c r="IG31" i="4"/>
  <c r="IH31" i="4"/>
  <c r="HL32" i="4"/>
  <c r="HM32" i="4"/>
  <c r="HN32" i="4"/>
  <c r="HO32" i="4"/>
  <c r="HP32" i="4"/>
  <c r="HQ32" i="4"/>
  <c r="HR32" i="4"/>
  <c r="HS32" i="4"/>
  <c r="HT32" i="4"/>
  <c r="HU32" i="4"/>
  <c r="HV32" i="4"/>
  <c r="HX32" i="4"/>
  <c r="HY32" i="4"/>
  <c r="HZ32" i="4"/>
  <c r="IA32" i="4"/>
  <c r="IB32" i="4"/>
  <c r="IC32" i="4"/>
  <c r="ID32" i="4"/>
  <c r="IE32" i="4"/>
  <c r="IF32" i="4"/>
  <c r="IG32" i="4"/>
  <c r="IH32" i="4"/>
  <c r="II23" i="4"/>
  <c r="IH23" i="4"/>
  <c r="IG23" i="4"/>
  <c r="IF23" i="4"/>
  <c r="IE23" i="4"/>
  <c r="ID23" i="4"/>
  <c r="IC23" i="4"/>
  <c r="IB23" i="4"/>
  <c r="IA23" i="4"/>
  <c r="HZ23" i="4"/>
  <c r="HY23" i="4"/>
  <c r="HX23" i="4"/>
  <c r="HW23" i="4"/>
  <c r="HV23" i="4"/>
  <c r="HU23" i="4"/>
  <c r="HT23" i="4"/>
  <c r="HS23" i="4"/>
  <c r="HR23" i="4"/>
  <c r="HQ23" i="4"/>
  <c r="HP23" i="4"/>
  <c r="HO23" i="4"/>
  <c r="HN23" i="4"/>
  <c r="HM23" i="4"/>
  <c r="HL23" i="4"/>
  <c r="HL14" i="4"/>
  <c r="HM14" i="4"/>
  <c r="HN14" i="4"/>
  <c r="HO14" i="4"/>
  <c r="HP14" i="4"/>
  <c r="HQ14" i="4"/>
  <c r="HR14" i="4"/>
  <c r="HS14" i="4"/>
  <c r="HT14" i="4"/>
  <c r="HU14" i="4"/>
  <c r="HV14" i="4"/>
  <c r="HW14" i="4"/>
  <c r="HX14" i="4"/>
  <c r="HY14" i="4"/>
  <c r="HZ14" i="4"/>
  <c r="IA14" i="4"/>
  <c r="IB14" i="4"/>
  <c r="IC14" i="4"/>
  <c r="ID14" i="4"/>
  <c r="IE14" i="4"/>
  <c r="IF14" i="4"/>
  <c r="IG14" i="4"/>
  <c r="IH14" i="4"/>
  <c r="II14" i="4"/>
  <c r="II15" i="4" s="1"/>
  <c r="II16" i="4" s="1"/>
  <c r="II17" i="4" s="1"/>
  <c r="II18" i="4" s="1"/>
  <c r="II19" i="4" s="1"/>
  <c r="II20" i="4" s="1"/>
  <c r="II21" i="4" s="1"/>
  <c r="II22" i="4" s="1"/>
  <c r="HL15" i="4"/>
  <c r="HM15" i="4"/>
  <c r="HN15" i="4"/>
  <c r="HO15" i="4"/>
  <c r="HP15" i="4"/>
  <c r="HQ15" i="4"/>
  <c r="HR15" i="4"/>
  <c r="HS15" i="4"/>
  <c r="HT15" i="4"/>
  <c r="HU15" i="4"/>
  <c r="HV15" i="4"/>
  <c r="HW15" i="4"/>
  <c r="HW16" i="4" s="1"/>
  <c r="HW17" i="4" s="1"/>
  <c r="HW18" i="4" s="1"/>
  <c r="HW19" i="4" s="1"/>
  <c r="HW20" i="4" s="1"/>
  <c r="HW21" i="4" s="1"/>
  <c r="HW22" i="4" s="1"/>
  <c r="HX15" i="4"/>
  <c r="HY15" i="4"/>
  <c r="HZ15" i="4"/>
  <c r="IA15" i="4"/>
  <c r="IB15" i="4"/>
  <c r="IC15" i="4"/>
  <c r="ID15" i="4"/>
  <c r="IE15" i="4"/>
  <c r="IF15" i="4"/>
  <c r="IG15" i="4"/>
  <c r="IH15" i="4"/>
  <c r="HL16" i="4"/>
  <c r="HM16" i="4"/>
  <c r="HN16" i="4"/>
  <c r="HO16" i="4"/>
  <c r="HP16" i="4"/>
  <c r="HQ16" i="4"/>
  <c r="HR16" i="4"/>
  <c r="HS16" i="4"/>
  <c r="HT16" i="4"/>
  <c r="HU16" i="4"/>
  <c r="HV16" i="4"/>
  <c r="HX16" i="4"/>
  <c r="HY16" i="4"/>
  <c r="HZ16" i="4"/>
  <c r="IA16" i="4"/>
  <c r="IB16" i="4"/>
  <c r="IC16" i="4"/>
  <c r="ID16" i="4"/>
  <c r="IE16" i="4"/>
  <c r="IF16" i="4"/>
  <c r="IG16" i="4"/>
  <c r="IH16" i="4"/>
  <c r="HL17" i="4"/>
  <c r="HM17" i="4"/>
  <c r="HN17" i="4"/>
  <c r="HO17" i="4"/>
  <c r="HP17" i="4"/>
  <c r="HQ17" i="4"/>
  <c r="HR17" i="4"/>
  <c r="HS17" i="4"/>
  <c r="HT17" i="4"/>
  <c r="HU17" i="4"/>
  <c r="HV17" i="4"/>
  <c r="HX17" i="4"/>
  <c r="HY17" i="4"/>
  <c r="HZ17" i="4"/>
  <c r="IA17" i="4"/>
  <c r="IB17" i="4"/>
  <c r="IC17" i="4"/>
  <c r="ID17" i="4"/>
  <c r="IE17" i="4"/>
  <c r="IF17" i="4"/>
  <c r="IG17" i="4"/>
  <c r="IH17" i="4"/>
  <c r="HL18" i="4"/>
  <c r="HM18" i="4"/>
  <c r="HN18" i="4"/>
  <c r="HO18" i="4"/>
  <c r="HP18" i="4"/>
  <c r="HQ18" i="4"/>
  <c r="HR18" i="4"/>
  <c r="HS18" i="4"/>
  <c r="HT18" i="4"/>
  <c r="HU18" i="4"/>
  <c r="HV18" i="4"/>
  <c r="HX18" i="4"/>
  <c r="HY18" i="4"/>
  <c r="HZ18" i="4"/>
  <c r="IA18" i="4"/>
  <c r="IB18" i="4"/>
  <c r="IC18" i="4"/>
  <c r="ID18" i="4"/>
  <c r="IE18" i="4"/>
  <c r="IF18" i="4"/>
  <c r="IG18" i="4"/>
  <c r="IH18" i="4"/>
  <c r="HL19" i="4"/>
  <c r="HM19" i="4"/>
  <c r="HN19" i="4"/>
  <c r="HO19" i="4"/>
  <c r="HP19" i="4"/>
  <c r="HQ19" i="4"/>
  <c r="HR19" i="4"/>
  <c r="HS19" i="4"/>
  <c r="HT19" i="4"/>
  <c r="HU19" i="4"/>
  <c r="HV19" i="4"/>
  <c r="HX19" i="4"/>
  <c r="HY19" i="4"/>
  <c r="HZ19" i="4"/>
  <c r="IA19" i="4"/>
  <c r="IB19" i="4"/>
  <c r="IC19" i="4"/>
  <c r="ID19" i="4"/>
  <c r="IE19" i="4"/>
  <c r="IF19" i="4"/>
  <c r="IG19" i="4"/>
  <c r="IH19" i="4"/>
  <c r="HL20" i="4"/>
  <c r="HM20" i="4"/>
  <c r="HN20" i="4"/>
  <c r="HO20" i="4"/>
  <c r="HP20" i="4"/>
  <c r="HQ20" i="4"/>
  <c r="HR20" i="4"/>
  <c r="HS20" i="4"/>
  <c r="HT20" i="4"/>
  <c r="HU20" i="4"/>
  <c r="HV20" i="4"/>
  <c r="HX20" i="4"/>
  <c r="HY20" i="4"/>
  <c r="HZ20" i="4"/>
  <c r="IA20" i="4"/>
  <c r="IB20" i="4"/>
  <c r="IC20" i="4"/>
  <c r="ID20" i="4"/>
  <c r="IE20" i="4"/>
  <c r="IF20" i="4"/>
  <c r="IG20" i="4"/>
  <c r="IH20" i="4"/>
  <c r="HL21" i="4"/>
  <c r="HM21" i="4"/>
  <c r="HN21" i="4"/>
  <c r="HO21" i="4"/>
  <c r="HP21" i="4"/>
  <c r="HQ21" i="4"/>
  <c r="HR21" i="4"/>
  <c r="HS21" i="4"/>
  <c r="HT21" i="4"/>
  <c r="HU21" i="4"/>
  <c r="HV21" i="4"/>
  <c r="HX21" i="4"/>
  <c r="HY21" i="4"/>
  <c r="HZ21" i="4"/>
  <c r="IA21" i="4"/>
  <c r="IB21" i="4"/>
  <c r="IC21" i="4"/>
  <c r="ID21" i="4"/>
  <c r="IE21" i="4"/>
  <c r="IF21" i="4"/>
  <c r="IG21" i="4"/>
  <c r="IH21" i="4"/>
  <c r="HL22" i="4"/>
  <c r="HM22" i="4"/>
  <c r="HN22" i="4"/>
  <c r="HO22" i="4"/>
  <c r="HP22" i="4"/>
  <c r="HQ22" i="4"/>
  <c r="HR22" i="4"/>
  <c r="HS22" i="4"/>
  <c r="HT22" i="4"/>
  <c r="HU22" i="4"/>
  <c r="HV22" i="4"/>
  <c r="HX22" i="4"/>
  <c r="HY22" i="4"/>
  <c r="HZ22" i="4"/>
  <c r="IA22" i="4"/>
  <c r="IB22" i="4"/>
  <c r="IC22" i="4"/>
  <c r="ID22" i="4"/>
  <c r="IE22" i="4"/>
  <c r="IF22" i="4"/>
  <c r="IG22" i="4"/>
  <c r="IH22" i="4"/>
  <c r="II13" i="4"/>
  <c r="IH13" i="4"/>
  <c r="IG13" i="4"/>
  <c r="IF13" i="4"/>
  <c r="IE13" i="4"/>
  <c r="ID13" i="4"/>
  <c r="IC13" i="4"/>
  <c r="IB13" i="4"/>
  <c r="IA13" i="4"/>
  <c r="HZ13" i="4"/>
  <c r="HY13" i="4"/>
  <c r="HX13" i="4"/>
  <c r="HW13" i="4"/>
  <c r="HV13" i="4"/>
  <c r="HU13" i="4"/>
  <c r="HT13" i="4"/>
  <c r="HS13" i="4"/>
  <c r="HR13" i="4"/>
  <c r="HQ13" i="4"/>
  <c r="HP13" i="4"/>
  <c r="HO13" i="4"/>
  <c r="HN13" i="4"/>
  <c r="HM13" i="4"/>
  <c r="HL13" i="4"/>
  <c r="HL12" i="4"/>
  <c r="HM12" i="4"/>
  <c r="HN12" i="4"/>
  <c r="HO12" i="4"/>
  <c r="HP12" i="4"/>
  <c r="HQ12" i="4"/>
  <c r="HR12" i="4"/>
  <c r="HS12" i="4"/>
  <c r="HT12" i="4"/>
  <c r="HU12" i="4"/>
  <c r="HV12" i="4"/>
  <c r="HW12" i="4"/>
  <c r="HX12" i="4"/>
  <c r="HY12" i="4"/>
  <c r="HZ12" i="4"/>
  <c r="IA12" i="4"/>
  <c r="IB12" i="4"/>
  <c r="IC12" i="4"/>
  <c r="ID12" i="4"/>
  <c r="IE12" i="4"/>
  <c r="IF12" i="4"/>
  <c r="IG12" i="4"/>
  <c r="IH12" i="4"/>
  <c r="II12" i="4"/>
  <c r="HL4" i="4"/>
  <c r="HM4" i="4"/>
  <c r="HN4" i="4"/>
  <c r="HO4" i="4"/>
  <c r="HP4" i="4"/>
  <c r="HQ4" i="4"/>
  <c r="HR4" i="4"/>
  <c r="HS4" i="4"/>
  <c r="HT4" i="4"/>
  <c r="HU4" i="4"/>
  <c r="HV4" i="4"/>
  <c r="HW4" i="4"/>
  <c r="HX4" i="4"/>
  <c r="HY4" i="4"/>
  <c r="HZ4" i="4"/>
  <c r="IA4" i="4"/>
  <c r="IB4" i="4"/>
  <c r="IC4" i="4"/>
  <c r="ID4" i="4"/>
  <c r="IE4" i="4"/>
  <c r="IF4" i="4"/>
  <c r="IG4" i="4"/>
  <c r="IH4" i="4"/>
  <c r="II4" i="4"/>
  <c r="HL5" i="4"/>
  <c r="HM5" i="4"/>
  <c r="HN5" i="4"/>
  <c r="HO5" i="4"/>
  <c r="HP5" i="4"/>
  <c r="HQ5" i="4"/>
  <c r="HR5" i="4"/>
  <c r="HS5" i="4"/>
  <c r="HT5" i="4"/>
  <c r="HU5" i="4"/>
  <c r="HV5" i="4"/>
  <c r="HV6" i="4" s="1"/>
  <c r="HV7" i="4" s="1"/>
  <c r="HV8" i="4" s="1"/>
  <c r="HV9" i="4" s="1"/>
  <c r="HV10" i="4" s="1"/>
  <c r="HV11" i="4" s="1"/>
  <c r="HW5" i="4"/>
  <c r="HW6" i="4" s="1"/>
  <c r="HW7" i="4" s="1"/>
  <c r="HW8" i="4" s="1"/>
  <c r="HW9" i="4" s="1"/>
  <c r="HW10" i="4" s="1"/>
  <c r="HW11" i="4" s="1"/>
  <c r="HX5" i="4"/>
  <c r="HY5" i="4"/>
  <c r="HZ5" i="4"/>
  <c r="IA5" i="4"/>
  <c r="IB5" i="4"/>
  <c r="IC5" i="4"/>
  <c r="ID5" i="4"/>
  <c r="IE5" i="4"/>
  <c r="IF5" i="4"/>
  <c r="IG5" i="4"/>
  <c r="IH5" i="4"/>
  <c r="IH6" i="4" s="1"/>
  <c r="IH7" i="4" s="1"/>
  <c r="IH8" i="4" s="1"/>
  <c r="IH9" i="4" s="1"/>
  <c r="IH10" i="4" s="1"/>
  <c r="IH11" i="4" s="1"/>
  <c r="II5" i="4"/>
  <c r="II6" i="4" s="1"/>
  <c r="II7" i="4" s="1"/>
  <c r="II8" i="4" s="1"/>
  <c r="II9" i="4" s="1"/>
  <c r="II10" i="4" s="1"/>
  <c r="II11" i="4" s="1"/>
  <c r="HL6" i="4"/>
  <c r="HM6" i="4"/>
  <c r="HN6" i="4"/>
  <c r="HO6" i="4"/>
  <c r="HP6" i="4"/>
  <c r="HQ6" i="4"/>
  <c r="HR6" i="4"/>
  <c r="HS6" i="4"/>
  <c r="HT6" i="4"/>
  <c r="HU6" i="4"/>
  <c r="HX6" i="4"/>
  <c r="HY6" i="4"/>
  <c r="HZ6" i="4"/>
  <c r="IA6" i="4"/>
  <c r="IB6" i="4"/>
  <c r="IC6" i="4"/>
  <c r="ID6" i="4"/>
  <c r="IE6" i="4"/>
  <c r="IF6" i="4"/>
  <c r="IG6" i="4"/>
  <c r="HL7" i="4"/>
  <c r="HM7" i="4"/>
  <c r="HN7" i="4"/>
  <c r="HO7" i="4"/>
  <c r="HP7" i="4"/>
  <c r="HQ7" i="4"/>
  <c r="HR7" i="4"/>
  <c r="HS7" i="4"/>
  <c r="HT7" i="4"/>
  <c r="HU7" i="4"/>
  <c r="HX7" i="4"/>
  <c r="HY7" i="4"/>
  <c r="HZ7" i="4"/>
  <c r="IA7" i="4"/>
  <c r="IB7" i="4"/>
  <c r="IC7" i="4"/>
  <c r="ID7" i="4"/>
  <c r="IE7" i="4"/>
  <c r="IF7" i="4"/>
  <c r="IG7" i="4"/>
  <c r="HL8" i="4"/>
  <c r="HM8" i="4"/>
  <c r="HN8" i="4"/>
  <c r="HO8" i="4"/>
  <c r="HP8" i="4"/>
  <c r="HQ8" i="4"/>
  <c r="HR8" i="4"/>
  <c r="HS8" i="4"/>
  <c r="HT8" i="4"/>
  <c r="HU8" i="4"/>
  <c r="HX8" i="4"/>
  <c r="HY8" i="4"/>
  <c r="HZ8" i="4"/>
  <c r="IA8" i="4"/>
  <c r="IB8" i="4"/>
  <c r="IC8" i="4"/>
  <c r="ID8" i="4"/>
  <c r="IE8" i="4"/>
  <c r="IF8" i="4"/>
  <c r="IG8" i="4"/>
  <c r="HL9" i="4"/>
  <c r="HM9" i="4"/>
  <c r="HN9" i="4"/>
  <c r="HO9" i="4"/>
  <c r="HP9" i="4"/>
  <c r="HQ9" i="4"/>
  <c r="HR9" i="4"/>
  <c r="HS9" i="4"/>
  <c r="HT9" i="4"/>
  <c r="HU9" i="4"/>
  <c r="HX9" i="4"/>
  <c r="HY9" i="4"/>
  <c r="HZ9" i="4"/>
  <c r="IA9" i="4"/>
  <c r="IB9" i="4"/>
  <c r="IC9" i="4"/>
  <c r="ID9" i="4"/>
  <c r="IE9" i="4"/>
  <c r="IF9" i="4"/>
  <c r="IG9" i="4"/>
  <c r="HL10" i="4"/>
  <c r="HM10" i="4"/>
  <c r="HN10" i="4"/>
  <c r="HO10" i="4"/>
  <c r="HP10" i="4"/>
  <c r="HQ10" i="4"/>
  <c r="HR10" i="4"/>
  <c r="HS10" i="4"/>
  <c r="HT10" i="4"/>
  <c r="HU10" i="4"/>
  <c r="HX10" i="4"/>
  <c r="HY10" i="4"/>
  <c r="HZ10" i="4"/>
  <c r="IA10" i="4"/>
  <c r="IB10" i="4"/>
  <c r="IC10" i="4"/>
  <c r="ID10" i="4"/>
  <c r="IE10" i="4"/>
  <c r="IF10" i="4"/>
  <c r="IG10" i="4"/>
  <c r="HL11" i="4"/>
  <c r="HM11" i="4"/>
  <c r="HN11" i="4"/>
  <c r="HO11" i="4"/>
  <c r="HP11" i="4"/>
  <c r="HQ11" i="4"/>
  <c r="HR11" i="4"/>
  <c r="HS11" i="4"/>
  <c r="HT11" i="4"/>
  <c r="HU11" i="4"/>
  <c r="HX11" i="4"/>
  <c r="HY11" i="4"/>
  <c r="HZ11" i="4"/>
  <c r="IA11" i="4"/>
  <c r="IB11" i="4"/>
  <c r="IC11" i="4"/>
  <c r="ID11" i="4"/>
  <c r="IE11" i="4"/>
  <c r="IF11" i="4"/>
  <c r="IG11" i="4"/>
  <c r="II3" i="4"/>
  <c r="IH3" i="4"/>
  <c r="IG3" i="4"/>
  <c r="IF3" i="4"/>
  <c r="IE3" i="4"/>
  <c r="ID3" i="4"/>
  <c r="IC3" i="4"/>
  <c r="IB3" i="4"/>
  <c r="IA3" i="4"/>
  <c r="HZ3" i="4"/>
  <c r="HY3" i="4"/>
  <c r="HX3" i="4"/>
  <c r="HW3" i="4"/>
  <c r="HV3" i="4"/>
  <c r="HU3" i="4"/>
  <c r="HT3" i="4"/>
  <c r="HS3" i="4"/>
  <c r="HR3" i="4"/>
  <c r="HQ3" i="4"/>
  <c r="HP3" i="4"/>
  <c r="HO3" i="4"/>
  <c r="HN3" i="4"/>
  <c r="HM3" i="4"/>
  <c r="HL3" i="4"/>
  <c r="N2" i="2"/>
  <c r="I17" i="5"/>
  <c r="I16" i="5" s="1"/>
  <c r="I15" i="5" s="1"/>
  <c r="I14" i="5" s="1"/>
  <c r="I13" i="5" s="1"/>
  <c r="I12" i="5" s="1"/>
  <c r="I11" i="5" s="1"/>
  <c r="I10" i="5" s="1"/>
  <c r="I9" i="5" s="1"/>
  <c r="I8" i="5" s="1"/>
  <c r="I7" i="5" s="1"/>
  <c r="I6" i="5" s="1"/>
  <c r="I5" i="5" s="1"/>
  <c r="I4" i="5" s="1"/>
  <c r="J17" i="5"/>
  <c r="J16" i="5" s="1"/>
  <c r="J15" i="5" s="1"/>
  <c r="J14" i="5" s="1"/>
  <c r="J13" i="5" s="1"/>
  <c r="J12" i="5" s="1"/>
  <c r="J11" i="5" s="1"/>
  <c r="J10" i="5" s="1"/>
  <c r="J9" i="5" s="1"/>
  <c r="J8" i="5" s="1"/>
  <c r="J7" i="5" s="1"/>
  <c r="J6" i="5" s="1"/>
  <c r="J5" i="5" s="1"/>
  <c r="J4" i="5" s="1"/>
  <c r="K17" i="5"/>
  <c r="K16" i="5" s="1"/>
  <c r="K15" i="5" s="1"/>
  <c r="K14" i="5" s="1"/>
  <c r="K13" i="5" s="1"/>
  <c r="K12" i="5" s="1"/>
  <c r="K11" i="5" s="1"/>
  <c r="K10" i="5" s="1"/>
  <c r="K9" i="5" s="1"/>
  <c r="K8" i="5" s="1"/>
  <c r="K7" i="5" s="1"/>
  <c r="K6" i="5" s="1"/>
  <c r="K5" i="5" s="1"/>
  <c r="K4" i="5" s="1"/>
  <c r="L17" i="5"/>
  <c r="L16" i="5" s="1"/>
  <c r="L15" i="5" s="1"/>
  <c r="L14" i="5" s="1"/>
  <c r="L13" i="5" s="1"/>
  <c r="L12" i="5" s="1"/>
  <c r="L11" i="5" s="1"/>
  <c r="L10" i="5" s="1"/>
  <c r="L9" i="5" s="1"/>
  <c r="L8" i="5" s="1"/>
  <c r="L7" i="5" s="1"/>
  <c r="L6" i="5" s="1"/>
  <c r="L5" i="5" s="1"/>
  <c r="L4" i="5" s="1"/>
  <c r="M17" i="5"/>
  <c r="M16" i="5" s="1"/>
  <c r="M15" i="5" s="1"/>
  <c r="M14" i="5" s="1"/>
  <c r="M13" i="5" s="1"/>
  <c r="M12" i="5" s="1"/>
  <c r="M11" i="5" s="1"/>
  <c r="M10" i="5" s="1"/>
  <c r="M9" i="5" s="1"/>
  <c r="M8" i="5" s="1"/>
  <c r="M7" i="5" s="1"/>
  <c r="M6" i="5" s="1"/>
  <c r="M5" i="5" s="1"/>
  <c r="M4" i="5" s="1"/>
  <c r="N17" i="5"/>
  <c r="N16" i="5" s="1"/>
  <c r="N15" i="5" s="1"/>
  <c r="N14" i="5" s="1"/>
  <c r="N13" i="5" s="1"/>
  <c r="N12" i="5" s="1"/>
  <c r="N11" i="5" s="1"/>
  <c r="N10" i="5" s="1"/>
  <c r="N9" i="5" s="1"/>
  <c r="N8" i="5" s="1"/>
  <c r="N7" i="5" s="1"/>
  <c r="N6" i="5" s="1"/>
  <c r="N5" i="5" s="1"/>
  <c r="N4" i="5" s="1"/>
  <c r="O17" i="5"/>
  <c r="O16" i="5" s="1"/>
  <c r="O15" i="5" s="1"/>
  <c r="O14" i="5" s="1"/>
  <c r="O13" i="5" s="1"/>
  <c r="O12" i="5" s="1"/>
  <c r="O11" i="5" s="1"/>
  <c r="O10" i="5" s="1"/>
  <c r="O9" i="5" s="1"/>
  <c r="O8" i="5" s="1"/>
  <c r="O7" i="5" s="1"/>
  <c r="O6" i="5" s="1"/>
  <c r="O5" i="5" s="1"/>
  <c r="O4" i="5" s="1"/>
  <c r="P17" i="5"/>
  <c r="P16" i="5" s="1"/>
  <c r="P15" i="5" s="1"/>
  <c r="P14" i="5" s="1"/>
  <c r="P13" i="5" s="1"/>
  <c r="P12" i="5" s="1"/>
  <c r="P11" i="5" s="1"/>
  <c r="P10" i="5" s="1"/>
  <c r="P9" i="5" s="1"/>
  <c r="P8" i="5" s="1"/>
  <c r="P7" i="5" s="1"/>
  <c r="P6" i="5" s="1"/>
  <c r="P5" i="5" s="1"/>
  <c r="P4" i="5" s="1"/>
  <c r="Q17" i="5"/>
  <c r="Q16" i="5" s="1"/>
  <c r="Q15" i="5" s="1"/>
  <c r="Q14" i="5" s="1"/>
  <c r="Q13" i="5" s="1"/>
  <c r="Q12" i="5" s="1"/>
  <c r="Q11" i="5" s="1"/>
  <c r="Q10" i="5" s="1"/>
  <c r="Q9" i="5" s="1"/>
  <c r="Q8" i="5" s="1"/>
  <c r="Q7" i="5" s="1"/>
  <c r="Q6" i="5" s="1"/>
  <c r="Q5" i="5" s="1"/>
  <c r="Q4" i="5" s="1"/>
  <c r="R17" i="5"/>
  <c r="R16" i="5" s="1"/>
  <c r="R15" i="5" s="1"/>
  <c r="R14" i="5" s="1"/>
  <c r="R13" i="5" s="1"/>
  <c r="R12" i="5" s="1"/>
  <c r="R11" i="5" s="1"/>
  <c r="R10" i="5" s="1"/>
  <c r="R9" i="5" s="1"/>
  <c r="R8" i="5" s="1"/>
  <c r="R7" i="5" s="1"/>
  <c r="R6" i="5" s="1"/>
  <c r="R5" i="5" s="1"/>
  <c r="R4" i="5" s="1"/>
  <c r="S17" i="5"/>
  <c r="T17" i="5"/>
  <c r="T16" i="5" s="1"/>
  <c r="T15" i="5" s="1"/>
  <c r="T14" i="5" s="1"/>
  <c r="T13" i="5" s="1"/>
  <c r="T12" i="5" s="1"/>
  <c r="T11" i="5" s="1"/>
  <c r="T10" i="5" s="1"/>
  <c r="T9" i="5" s="1"/>
  <c r="T8" i="5" s="1"/>
  <c r="T7" i="5" s="1"/>
  <c r="T6" i="5" s="1"/>
  <c r="T5" i="5" s="1"/>
  <c r="T4" i="5" s="1"/>
  <c r="U17" i="5"/>
  <c r="U16" i="5" s="1"/>
  <c r="U15" i="5" s="1"/>
  <c r="U14" i="5" s="1"/>
  <c r="U13" i="5" s="1"/>
  <c r="U12" i="5" s="1"/>
  <c r="U11" i="5" s="1"/>
  <c r="U10" i="5" s="1"/>
  <c r="U9" i="5" s="1"/>
  <c r="U8" i="5" s="1"/>
  <c r="U7" i="5" s="1"/>
  <c r="U6" i="5" s="1"/>
  <c r="U5" i="5" s="1"/>
  <c r="U4" i="5" s="1"/>
  <c r="V17" i="5"/>
  <c r="V16" i="5" s="1"/>
  <c r="V15" i="5" s="1"/>
  <c r="V14" i="5" s="1"/>
  <c r="V13" i="5" s="1"/>
  <c r="V12" i="5" s="1"/>
  <c r="V11" i="5" s="1"/>
  <c r="V10" i="5" s="1"/>
  <c r="V9" i="5" s="1"/>
  <c r="V8" i="5" s="1"/>
  <c r="V7" i="5" s="1"/>
  <c r="V6" i="5" s="1"/>
  <c r="V5" i="5" s="1"/>
  <c r="V4" i="5" s="1"/>
  <c r="W17" i="5"/>
  <c r="W16" i="5" s="1"/>
  <c r="W15" i="5" s="1"/>
  <c r="W14" i="5" s="1"/>
  <c r="W13" i="5" s="1"/>
  <c r="W12" i="5" s="1"/>
  <c r="W11" i="5" s="1"/>
  <c r="W10" i="5" s="1"/>
  <c r="W9" i="5" s="1"/>
  <c r="W8" i="5" s="1"/>
  <c r="W7" i="5" s="1"/>
  <c r="W6" i="5" s="1"/>
  <c r="W5" i="5" s="1"/>
  <c r="W4" i="5" s="1"/>
  <c r="Z17" i="5"/>
  <c r="Z16" i="5" s="1"/>
  <c r="Z15" i="5" s="1"/>
  <c r="Z14" i="5" s="1"/>
  <c r="Z13" i="5" s="1"/>
  <c r="Z12" i="5" s="1"/>
  <c r="Z11" i="5" s="1"/>
  <c r="Z10" i="5" s="1"/>
  <c r="Z9" i="5" s="1"/>
  <c r="Z8" i="5" s="1"/>
  <c r="Z7" i="5" s="1"/>
  <c r="Z6" i="5" s="1"/>
  <c r="Z5" i="5" s="1"/>
  <c r="Z4" i="5" s="1"/>
  <c r="AA17" i="5"/>
  <c r="AA16" i="5" s="1"/>
  <c r="AA15" i="5" s="1"/>
  <c r="AA14" i="5" s="1"/>
  <c r="AA13" i="5" s="1"/>
  <c r="AA12" i="5" s="1"/>
  <c r="AA11" i="5" s="1"/>
  <c r="AA10" i="5" s="1"/>
  <c r="AA9" i="5" s="1"/>
  <c r="AA8" i="5" s="1"/>
  <c r="AA7" i="5" s="1"/>
  <c r="AA6" i="5" s="1"/>
  <c r="AA5" i="5" s="1"/>
  <c r="AA4" i="5" s="1"/>
  <c r="AB17" i="5"/>
  <c r="AB16" i="5" s="1"/>
  <c r="AB15" i="5" s="1"/>
  <c r="AB14" i="5" s="1"/>
  <c r="AB13" i="5" s="1"/>
  <c r="AB12" i="5" s="1"/>
  <c r="AB11" i="5" s="1"/>
  <c r="AB10" i="5" s="1"/>
  <c r="AB9" i="5" s="1"/>
  <c r="AB8" i="5" s="1"/>
  <c r="AB7" i="5" s="1"/>
  <c r="AB6" i="5" s="1"/>
  <c r="AB5" i="5" s="1"/>
  <c r="AB4" i="5" s="1"/>
  <c r="AC17" i="5"/>
  <c r="AC16" i="5" s="1"/>
  <c r="AC15" i="5" s="1"/>
  <c r="AC14" i="5" s="1"/>
  <c r="AC13" i="5" s="1"/>
  <c r="AC12" i="5" s="1"/>
  <c r="AC11" i="5" s="1"/>
  <c r="AC10" i="5" s="1"/>
  <c r="AC9" i="5" s="1"/>
  <c r="AC8" i="5" s="1"/>
  <c r="AC7" i="5" s="1"/>
  <c r="AC6" i="5" s="1"/>
  <c r="AC5" i="5" s="1"/>
  <c r="AC4" i="5" s="1"/>
  <c r="AD17" i="5"/>
  <c r="AD16" i="5" s="1"/>
  <c r="AD15" i="5" s="1"/>
  <c r="AD14" i="5" s="1"/>
  <c r="AD13" i="5" s="1"/>
  <c r="AD12" i="5" s="1"/>
  <c r="AD11" i="5" s="1"/>
  <c r="AD10" i="5" s="1"/>
  <c r="AD9" i="5" s="1"/>
  <c r="AD8" i="5" s="1"/>
  <c r="AD7" i="5" s="1"/>
  <c r="AD6" i="5" s="1"/>
  <c r="AD5" i="5" s="1"/>
  <c r="AD4" i="5" s="1"/>
  <c r="AF17" i="5"/>
  <c r="AF16" i="5" s="1"/>
  <c r="AF15" i="5" s="1"/>
  <c r="AF14" i="5" s="1"/>
  <c r="AF13" i="5" s="1"/>
  <c r="AF12" i="5" s="1"/>
  <c r="AF11" i="5" s="1"/>
  <c r="AF10" i="5" s="1"/>
  <c r="AF9" i="5" s="1"/>
  <c r="AF8" i="5" s="1"/>
  <c r="AF7" i="5" s="1"/>
  <c r="AF6" i="5" s="1"/>
  <c r="AF5" i="5" s="1"/>
  <c r="AF4" i="5" s="1"/>
  <c r="AG17" i="5"/>
  <c r="AG16" i="5" s="1"/>
  <c r="AG15" i="5" s="1"/>
  <c r="AG14" i="5" s="1"/>
  <c r="AG13" i="5" s="1"/>
  <c r="AG12" i="5" s="1"/>
  <c r="AG11" i="5" s="1"/>
  <c r="AG10" i="5" s="1"/>
  <c r="AG9" i="5" s="1"/>
  <c r="AG8" i="5" s="1"/>
  <c r="AG7" i="5" s="1"/>
  <c r="AG6" i="5" s="1"/>
  <c r="AG5" i="5" s="1"/>
  <c r="AG4" i="5" s="1"/>
  <c r="AH17" i="5"/>
  <c r="AH16" i="5" s="1"/>
  <c r="AH15" i="5" s="1"/>
  <c r="AH14" i="5" s="1"/>
  <c r="AH13" i="5" s="1"/>
  <c r="AH12" i="5" s="1"/>
  <c r="AH11" i="5" s="1"/>
  <c r="AH10" i="5" s="1"/>
  <c r="AH9" i="5" s="1"/>
  <c r="AH8" i="5" s="1"/>
  <c r="AH7" i="5" s="1"/>
  <c r="AH6" i="5" s="1"/>
  <c r="AH5" i="5" s="1"/>
  <c r="AH4" i="5" s="1"/>
  <c r="AI17" i="5"/>
  <c r="AI16" i="5" s="1"/>
  <c r="AI15" i="5" s="1"/>
  <c r="AI14" i="5" s="1"/>
  <c r="AI13" i="5" s="1"/>
  <c r="AI12" i="5" s="1"/>
  <c r="AI11" i="5" s="1"/>
  <c r="AI10" i="5" s="1"/>
  <c r="AI9" i="5" s="1"/>
  <c r="AI8" i="5" s="1"/>
  <c r="AI7" i="5" s="1"/>
  <c r="AI6" i="5" s="1"/>
  <c r="AI5" i="5" s="1"/>
  <c r="AI4" i="5" s="1"/>
  <c r="AJ17" i="5"/>
  <c r="AJ16" i="5" s="1"/>
  <c r="AJ15" i="5" s="1"/>
  <c r="AJ14" i="5" s="1"/>
  <c r="AJ13" i="5" s="1"/>
  <c r="AJ12" i="5" s="1"/>
  <c r="AJ11" i="5" s="1"/>
  <c r="AJ10" i="5" s="1"/>
  <c r="AJ9" i="5" s="1"/>
  <c r="AJ8" i="5" s="1"/>
  <c r="AJ7" i="5" s="1"/>
  <c r="AJ6" i="5" s="1"/>
  <c r="AJ5" i="5" s="1"/>
  <c r="AJ4" i="5" s="1"/>
  <c r="AK17" i="5"/>
  <c r="AK16" i="5" s="1"/>
  <c r="AK15" i="5" s="1"/>
  <c r="AK14" i="5" s="1"/>
  <c r="AK13" i="5" s="1"/>
  <c r="AK12" i="5" s="1"/>
  <c r="AK11" i="5" s="1"/>
  <c r="AK10" i="5" s="1"/>
  <c r="AK9" i="5" s="1"/>
  <c r="AK8" i="5" s="1"/>
  <c r="AK7" i="5" s="1"/>
  <c r="AK6" i="5" s="1"/>
  <c r="AK5" i="5" s="1"/>
  <c r="AK4" i="5" s="1"/>
  <c r="AL17" i="5"/>
  <c r="AL16" i="5" s="1"/>
  <c r="AL15" i="5" s="1"/>
  <c r="AL14" i="5" s="1"/>
  <c r="AL13" i="5" s="1"/>
  <c r="AL12" i="5" s="1"/>
  <c r="AL11" i="5" s="1"/>
  <c r="AL10" i="5" s="1"/>
  <c r="AL9" i="5" s="1"/>
  <c r="AL8" i="5" s="1"/>
  <c r="AL7" i="5" s="1"/>
  <c r="AL6" i="5" s="1"/>
  <c r="AL5" i="5" s="1"/>
  <c r="AL4" i="5" s="1"/>
  <c r="AN17" i="5"/>
  <c r="AN16" i="5" s="1"/>
  <c r="AN15" i="5" s="1"/>
  <c r="AN14" i="5" s="1"/>
  <c r="AN13" i="5" s="1"/>
  <c r="AN12" i="5" s="1"/>
  <c r="AN11" i="5" s="1"/>
  <c r="AN10" i="5" s="1"/>
  <c r="AN9" i="5" s="1"/>
  <c r="AN8" i="5" s="1"/>
  <c r="AN7" i="5" s="1"/>
  <c r="AN6" i="5" s="1"/>
  <c r="AN5" i="5" s="1"/>
  <c r="AN4" i="5" s="1"/>
  <c r="AO17" i="5"/>
  <c r="AO16" i="5" s="1"/>
  <c r="AO15" i="5" s="1"/>
  <c r="AO14" i="5" s="1"/>
  <c r="AO13" i="5" s="1"/>
  <c r="AO12" i="5" s="1"/>
  <c r="AO11" i="5" s="1"/>
  <c r="AO10" i="5" s="1"/>
  <c r="AO9" i="5" s="1"/>
  <c r="AO8" i="5" s="1"/>
  <c r="AO7" i="5" s="1"/>
  <c r="AO6" i="5" s="1"/>
  <c r="AO5" i="5" s="1"/>
  <c r="AO4" i="5" s="1"/>
  <c r="AP17" i="5"/>
  <c r="AP16" i="5" s="1"/>
  <c r="AP15" i="5" s="1"/>
  <c r="AP14" i="5" s="1"/>
  <c r="AP13" i="5" s="1"/>
  <c r="AP12" i="5" s="1"/>
  <c r="AP11" i="5" s="1"/>
  <c r="AP10" i="5" s="1"/>
  <c r="AP9" i="5" s="1"/>
  <c r="AP8" i="5" s="1"/>
  <c r="AP7" i="5" s="1"/>
  <c r="AP6" i="5" s="1"/>
  <c r="AP5" i="5" s="1"/>
  <c r="AP4" i="5" s="1"/>
  <c r="AQ17" i="5"/>
  <c r="I18" i="5"/>
  <c r="I19" i="5" s="1"/>
  <c r="I20" i="5" s="1"/>
  <c r="I21" i="5" s="1"/>
  <c r="I22" i="5" s="1"/>
  <c r="I23" i="5" s="1"/>
  <c r="I24" i="5" s="1"/>
  <c r="I25" i="5" s="1"/>
  <c r="I26" i="5" s="1"/>
  <c r="I27" i="5" s="1"/>
  <c r="I28" i="5" s="1"/>
  <c r="I29" i="5" s="1"/>
  <c r="I30" i="5" s="1"/>
  <c r="I31" i="5" s="1"/>
  <c r="T18" i="5"/>
  <c r="T19" i="5" s="1"/>
  <c r="T20" i="5" s="1"/>
  <c r="T21" i="5" s="1"/>
  <c r="T22" i="5" s="1"/>
  <c r="T23" i="5" s="1"/>
  <c r="T24" i="5" s="1"/>
  <c r="T25" i="5" s="1"/>
  <c r="T26" i="5" s="1"/>
  <c r="T27" i="5" s="1"/>
  <c r="T28" i="5" s="1"/>
  <c r="T29" i="5" s="1"/>
  <c r="T30" i="5" s="1"/>
  <c r="T31" i="5" s="1"/>
  <c r="AC18" i="5"/>
  <c r="AC19" i="5" s="1"/>
  <c r="AC20" i="5" s="1"/>
  <c r="AC21" i="5" s="1"/>
  <c r="AC22" i="5" s="1"/>
  <c r="AC23" i="5" s="1"/>
  <c r="AC24" i="5" s="1"/>
  <c r="AC25" i="5" s="1"/>
  <c r="AC26" i="5" s="1"/>
  <c r="AC27" i="5" s="1"/>
  <c r="AC28" i="5" s="1"/>
  <c r="AC29" i="5" s="1"/>
  <c r="AC30" i="5" s="1"/>
  <c r="AC31" i="5" s="1"/>
  <c r="C147" i="5"/>
  <c r="AO146" i="5"/>
  <c r="AO148" i="5" s="1"/>
  <c r="AO151" i="5" s="1"/>
  <c r="AO152" i="5" s="1"/>
  <c r="E77" i="5" s="1"/>
  <c r="AD146" i="5"/>
  <c r="AC146" i="5"/>
  <c r="AC148" i="5" s="1"/>
  <c r="AC151" i="5" s="1"/>
  <c r="AC152" i="5" s="1"/>
  <c r="E65" i="5" s="1"/>
  <c r="R146" i="5"/>
  <c r="Q146" i="5"/>
  <c r="AS145" i="5"/>
  <c r="AS146" i="5" s="1"/>
  <c r="AR145" i="5"/>
  <c r="AR146" i="5" s="1"/>
  <c r="AQ145" i="5"/>
  <c r="AQ146" i="5" s="1"/>
  <c r="AP145" i="5"/>
  <c r="AP146" i="5" s="1"/>
  <c r="AO145" i="5"/>
  <c r="AN145" i="5"/>
  <c r="AN146" i="5" s="1"/>
  <c r="AM145" i="5"/>
  <c r="AM146" i="5" s="1"/>
  <c r="AL145" i="5"/>
  <c r="AL146" i="5" s="1"/>
  <c r="AL148" i="5" s="1"/>
  <c r="AK145" i="5"/>
  <c r="AK146" i="5" s="1"/>
  <c r="AK148" i="5" s="1"/>
  <c r="AK151" i="5" s="1"/>
  <c r="AK152" i="5" s="1"/>
  <c r="E73" i="5" s="1"/>
  <c r="AJ145" i="5"/>
  <c r="AJ146" i="5" s="1"/>
  <c r="AJ148" i="5" s="1"/>
  <c r="D72" i="5" s="1"/>
  <c r="AI145" i="5"/>
  <c r="AI146" i="5" s="1"/>
  <c r="AI148" i="5" s="1"/>
  <c r="AH145" i="5"/>
  <c r="AH146" i="5" s="1"/>
  <c r="AG145" i="5"/>
  <c r="AG146" i="5" s="1"/>
  <c r="AF145" i="5"/>
  <c r="AF146" i="5" s="1"/>
  <c r="AE145" i="5"/>
  <c r="AE146" i="5" s="1"/>
  <c r="AD145" i="5"/>
  <c r="AC145" i="5"/>
  <c r="AB145" i="5"/>
  <c r="AB146" i="5" s="1"/>
  <c r="AA145" i="5"/>
  <c r="AA146" i="5" s="1"/>
  <c r="AA148" i="5" s="1"/>
  <c r="Z145" i="5"/>
  <c r="Z146" i="5" s="1"/>
  <c r="Z148" i="5" s="1"/>
  <c r="Y145" i="5"/>
  <c r="Y146" i="5" s="1"/>
  <c r="X145" i="5"/>
  <c r="X146" i="5" s="1"/>
  <c r="W145" i="5"/>
  <c r="W146" i="5" s="1"/>
  <c r="W148" i="5" s="1"/>
  <c r="V145" i="5"/>
  <c r="V146" i="5" s="1"/>
  <c r="U145" i="5"/>
  <c r="U146" i="5" s="1"/>
  <c r="T145" i="5"/>
  <c r="T146" i="5" s="1"/>
  <c r="S145" i="5"/>
  <c r="S146" i="5" s="1"/>
  <c r="R145" i="5"/>
  <c r="Q145" i="5"/>
  <c r="P145" i="5"/>
  <c r="P146" i="5" s="1"/>
  <c r="O145" i="5"/>
  <c r="O146" i="5" s="1"/>
  <c r="O148" i="5" s="1"/>
  <c r="N145" i="5"/>
  <c r="N146" i="5" s="1"/>
  <c r="N148" i="5" s="1"/>
  <c r="M145" i="5"/>
  <c r="M146" i="5" s="1"/>
  <c r="L145" i="5"/>
  <c r="L146" i="5" s="1"/>
  <c r="L148" i="5" s="1"/>
  <c r="D48" i="5" s="1"/>
  <c r="K145" i="5"/>
  <c r="K146" i="5" s="1"/>
  <c r="K148" i="5" s="1"/>
  <c r="J145" i="5"/>
  <c r="J146" i="5" s="1"/>
  <c r="I145" i="5"/>
  <c r="I146" i="5" s="1"/>
  <c r="H145" i="5"/>
  <c r="H146" i="5" s="1"/>
  <c r="AJ143" i="5"/>
  <c r="AI143" i="5"/>
  <c r="AH143" i="5"/>
  <c r="AG143" i="5"/>
  <c r="X143" i="5"/>
  <c r="X17" i="5" s="1"/>
  <c r="X16" i="5" s="1"/>
  <c r="X15" i="5" s="1"/>
  <c r="X14" i="5" s="1"/>
  <c r="X13" i="5" s="1"/>
  <c r="X12" i="5" s="1"/>
  <c r="X11" i="5" s="1"/>
  <c r="X10" i="5" s="1"/>
  <c r="X9" i="5" s="1"/>
  <c r="X8" i="5" s="1"/>
  <c r="X7" i="5" s="1"/>
  <c r="X6" i="5" s="1"/>
  <c r="X5" i="5" s="1"/>
  <c r="X4" i="5" s="1"/>
  <c r="W143" i="5"/>
  <c r="V143" i="5"/>
  <c r="U143" i="5"/>
  <c r="L143" i="5"/>
  <c r="K143" i="5"/>
  <c r="J143" i="5"/>
  <c r="I143" i="5"/>
  <c r="D143" i="5"/>
  <c r="C143" i="5"/>
  <c r="AS142" i="5"/>
  <c r="AR142" i="5"/>
  <c r="AQ142" i="5"/>
  <c r="AP142" i="5"/>
  <c r="AO142" i="5"/>
  <c r="AN142" i="5"/>
  <c r="AM142" i="5"/>
  <c r="AL142" i="5"/>
  <c r="AL143" i="5" s="1"/>
  <c r="AK142" i="5"/>
  <c r="AK143" i="5" s="1"/>
  <c r="AJ142" i="5"/>
  <c r="AI142" i="5"/>
  <c r="AH142" i="5"/>
  <c r="AG142" i="5"/>
  <c r="AF142" i="5"/>
  <c r="AE142" i="5"/>
  <c r="AD142" i="5"/>
  <c r="AC142" i="5"/>
  <c r="AB142" i="5"/>
  <c r="AA142" i="5"/>
  <c r="Z142" i="5"/>
  <c r="Z143" i="5" s="1"/>
  <c r="Y142" i="5"/>
  <c r="Y143" i="5" s="1"/>
  <c r="Y17" i="5" s="1"/>
  <c r="X142" i="5"/>
  <c r="W142" i="5"/>
  <c r="V142" i="5"/>
  <c r="U142" i="5"/>
  <c r="T142" i="5"/>
  <c r="S142" i="5"/>
  <c r="R142" i="5"/>
  <c r="Q142" i="5"/>
  <c r="P142" i="5"/>
  <c r="O142" i="5"/>
  <c r="N142" i="5"/>
  <c r="N143" i="5" s="1"/>
  <c r="M142" i="5"/>
  <c r="M143" i="5" s="1"/>
  <c r="L142" i="5"/>
  <c r="K142" i="5"/>
  <c r="J142" i="5"/>
  <c r="I142" i="5"/>
  <c r="H142" i="5"/>
  <c r="AS141" i="5"/>
  <c r="AS143" i="5" s="1"/>
  <c r="AS17" i="5" s="1"/>
  <c r="AS16" i="5" s="1"/>
  <c r="AS15" i="5" s="1"/>
  <c r="AS14" i="5" s="1"/>
  <c r="AS13" i="5" s="1"/>
  <c r="AS12" i="5" s="1"/>
  <c r="AS11" i="5" s="1"/>
  <c r="AS10" i="5" s="1"/>
  <c r="AS9" i="5" s="1"/>
  <c r="AS8" i="5" s="1"/>
  <c r="AS7" i="5" s="1"/>
  <c r="AS6" i="5" s="1"/>
  <c r="AS5" i="5" s="1"/>
  <c r="AS4" i="5" s="1"/>
  <c r="AR141" i="5"/>
  <c r="AQ141" i="5"/>
  <c r="AQ143" i="5" s="1"/>
  <c r="AP141" i="5"/>
  <c r="AP143" i="5" s="1"/>
  <c r="AO141" i="5"/>
  <c r="AO143" i="5" s="1"/>
  <c r="AN141" i="5"/>
  <c r="AN143" i="5" s="1"/>
  <c r="AM141" i="5"/>
  <c r="AM143" i="5" s="1"/>
  <c r="AM17" i="5" s="1"/>
  <c r="AM16" i="5" s="1"/>
  <c r="AM15" i="5" s="1"/>
  <c r="AM14" i="5" s="1"/>
  <c r="AM13" i="5" s="1"/>
  <c r="AM12" i="5" s="1"/>
  <c r="AM11" i="5" s="1"/>
  <c r="AM10" i="5" s="1"/>
  <c r="AM9" i="5" s="1"/>
  <c r="AM8" i="5" s="1"/>
  <c r="AM7" i="5" s="1"/>
  <c r="AM6" i="5" s="1"/>
  <c r="AM5" i="5" s="1"/>
  <c r="AM4" i="5" s="1"/>
  <c r="AL141" i="5"/>
  <c r="AK141" i="5"/>
  <c r="AJ141" i="5"/>
  <c r="AI141" i="5"/>
  <c r="AH141" i="5"/>
  <c r="AG141" i="5"/>
  <c r="AF141" i="5"/>
  <c r="AF143" i="5" s="1"/>
  <c r="AE141" i="5"/>
  <c r="AD141" i="5"/>
  <c r="AD143" i="5" s="1"/>
  <c r="AC141" i="5"/>
  <c r="AC143" i="5" s="1"/>
  <c r="AB141" i="5"/>
  <c r="AB143" i="5" s="1"/>
  <c r="AA141" i="5"/>
  <c r="AA143" i="5" s="1"/>
  <c r="Z141" i="5"/>
  <c r="Y141" i="5"/>
  <c r="X141" i="5"/>
  <c r="W141" i="5"/>
  <c r="V141" i="5"/>
  <c r="U141" i="5"/>
  <c r="T141" i="5"/>
  <c r="T143" i="5" s="1"/>
  <c r="S141" i="5"/>
  <c r="S143" i="5" s="1"/>
  <c r="R141" i="5"/>
  <c r="R143" i="5" s="1"/>
  <c r="Q141" i="5"/>
  <c r="Q143" i="5" s="1"/>
  <c r="P141" i="5"/>
  <c r="P143" i="5" s="1"/>
  <c r="O141" i="5"/>
  <c r="O143" i="5" s="1"/>
  <c r="N141" i="5"/>
  <c r="M141" i="5"/>
  <c r="L141" i="5"/>
  <c r="K141" i="5"/>
  <c r="J141" i="5"/>
  <c r="I141" i="5"/>
  <c r="H141" i="5"/>
  <c r="H143" i="5" s="1"/>
  <c r="AS134" i="5"/>
  <c r="AR134" i="5"/>
  <c r="AQ134" i="5"/>
  <c r="AP134" i="5"/>
  <c r="AO134" i="5"/>
  <c r="AN134" i="5"/>
  <c r="AM134" i="5"/>
  <c r="AL134" i="5"/>
  <c r="AK134" i="5"/>
  <c r="AJ134" i="5"/>
  <c r="AI134" i="5"/>
  <c r="AH134" i="5"/>
  <c r="AG134" i="5"/>
  <c r="AF134" i="5"/>
  <c r="AE134" i="5"/>
  <c r="AD134" i="5"/>
  <c r="AC134" i="5"/>
  <c r="AB134" i="5"/>
  <c r="AA134" i="5"/>
  <c r="Z134" i="5"/>
  <c r="Y134" i="5"/>
  <c r="X134" i="5"/>
  <c r="W134" i="5"/>
  <c r="V134" i="5"/>
  <c r="U134" i="5"/>
  <c r="T134" i="5"/>
  <c r="S134" i="5"/>
  <c r="R134" i="5"/>
  <c r="Q134" i="5"/>
  <c r="P134" i="5"/>
  <c r="O134" i="5"/>
  <c r="N134" i="5"/>
  <c r="M134" i="5"/>
  <c r="L134" i="5"/>
  <c r="K134" i="5"/>
  <c r="J134" i="5"/>
  <c r="I134" i="5"/>
  <c r="H134" i="5"/>
  <c r="C81" i="5"/>
  <c r="C80" i="5"/>
  <c r="C79" i="5"/>
  <c r="C78" i="5"/>
  <c r="C77" i="5"/>
  <c r="C76" i="5"/>
  <c r="C75" i="5"/>
  <c r="C74" i="5"/>
  <c r="D73"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E39" i="5"/>
  <c r="C31" i="5"/>
  <c r="B30" i="5"/>
  <c r="B28" i="5"/>
  <c r="D18" i="5"/>
  <c r="D20" i="5" s="1"/>
  <c r="H17" i="5"/>
  <c r="H18" i="5" s="1"/>
  <c r="H19" i="5" s="1"/>
  <c r="H20" i="5" s="1"/>
  <c r="H21" i="5" s="1"/>
  <c r="H22" i="5" s="1"/>
  <c r="H23" i="5" s="1"/>
  <c r="H24" i="5" s="1"/>
  <c r="H25" i="5" s="1"/>
  <c r="H26" i="5" s="1"/>
  <c r="H27" i="5" s="1"/>
  <c r="AB151" i="14"/>
  <c r="AB152" i="14" s="1"/>
  <c r="AA151" i="14"/>
  <c r="AA152" i="14" s="1"/>
  <c r="Z151" i="14"/>
  <c r="Z152" i="14" s="1"/>
  <c r="P151" i="14"/>
  <c r="P152" i="14" s="1"/>
  <c r="O151" i="14"/>
  <c r="O152" i="14" s="1"/>
  <c r="N151" i="14"/>
  <c r="N152" i="14" s="1"/>
  <c r="AB148" i="14"/>
  <c r="AA148" i="14"/>
  <c r="Z148" i="14"/>
  <c r="Y148" i="14"/>
  <c r="Y151" i="14" s="1"/>
  <c r="Y152" i="14" s="1"/>
  <c r="X148" i="14"/>
  <c r="X151" i="14" s="1"/>
  <c r="X152" i="14" s="1"/>
  <c r="W148" i="14"/>
  <c r="W151" i="14" s="1"/>
  <c r="W152" i="14" s="1"/>
  <c r="P148" i="14"/>
  <c r="O148" i="14"/>
  <c r="N148" i="14"/>
  <c r="M148" i="14"/>
  <c r="M151" i="14" s="1"/>
  <c r="M152" i="14" s="1"/>
  <c r="L148" i="14"/>
  <c r="L151" i="14" s="1"/>
  <c r="L152" i="14" s="1"/>
  <c r="K148" i="14"/>
  <c r="K151" i="14" s="1"/>
  <c r="K152" i="14" s="1"/>
  <c r="AB146" i="14"/>
  <c r="AA146" i="14"/>
  <c r="Z146" i="14"/>
  <c r="Y146" i="14"/>
  <c r="X146" i="14"/>
  <c r="W146" i="14"/>
  <c r="V146" i="14"/>
  <c r="V148" i="14" s="1"/>
  <c r="V151" i="14" s="1"/>
  <c r="V152" i="14" s="1"/>
  <c r="U146" i="14"/>
  <c r="U148" i="14" s="1"/>
  <c r="U151" i="14" s="1"/>
  <c r="U152" i="14" s="1"/>
  <c r="T146" i="14"/>
  <c r="T148" i="14" s="1"/>
  <c r="T151" i="14" s="1"/>
  <c r="T152" i="14" s="1"/>
  <c r="S146" i="14"/>
  <c r="R146" i="14"/>
  <c r="Q146" i="14"/>
  <c r="P146" i="14"/>
  <c r="O146" i="14"/>
  <c r="N146" i="14"/>
  <c r="M146" i="14"/>
  <c r="L146" i="14"/>
  <c r="K146" i="14"/>
  <c r="J146" i="14"/>
  <c r="J148" i="14" s="1"/>
  <c r="J151" i="14" s="1"/>
  <c r="J152" i="14" s="1"/>
  <c r="I146" i="14"/>
  <c r="I148" i="14" s="1"/>
  <c r="I151" i="14" s="1"/>
  <c r="I152" i="14" s="1"/>
  <c r="H146" i="14"/>
  <c r="H148" i="14" s="1"/>
  <c r="H151" i="14" s="1"/>
  <c r="H152" i="14" s="1"/>
  <c r="AB143" i="14"/>
  <c r="AA143" i="14"/>
  <c r="Z143" i="14"/>
  <c r="Y143" i="14"/>
  <c r="X143" i="14"/>
  <c r="W143" i="14"/>
  <c r="V143" i="14"/>
  <c r="U143" i="14"/>
  <c r="T143" i="14"/>
  <c r="S143" i="14"/>
  <c r="S148" i="14" s="1"/>
  <c r="S151" i="14" s="1"/>
  <c r="S152" i="14" s="1"/>
  <c r="R143" i="14"/>
  <c r="R148" i="14" s="1"/>
  <c r="R151" i="14" s="1"/>
  <c r="R152" i="14" s="1"/>
  <c r="Q143" i="14"/>
  <c r="Q148" i="14" s="1"/>
  <c r="Q151" i="14" s="1"/>
  <c r="Q152" i="14" s="1"/>
  <c r="P143" i="14"/>
  <c r="O143" i="14"/>
  <c r="N143" i="14"/>
  <c r="M143" i="14"/>
  <c r="L143" i="14"/>
  <c r="K143" i="14"/>
  <c r="J143" i="14"/>
  <c r="I143" i="14"/>
  <c r="H143" i="14"/>
  <c r="E39" i="14"/>
  <c r="S31" i="14"/>
  <c r="R31" i="14"/>
  <c r="H31" i="14"/>
  <c r="C31" i="14"/>
  <c r="AH30" i="14"/>
  <c r="B30" i="14"/>
  <c r="S29" i="14"/>
  <c r="R29" i="14"/>
  <c r="H29" i="14"/>
  <c r="B28" i="14"/>
  <c r="S27" i="14"/>
  <c r="R27" i="14"/>
  <c r="H27" i="14"/>
  <c r="S25" i="14"/>
  <c r="R25" i="14"/>
  <c r="H25" i="14"/>
  <c r="S23" i="14"/>
  <c r="R23" i="14"/>
  <c r="H23" i="14"/>
  <c r="S21" i="14"/>
  <c r="R21" i="14"/>
  <c r="H21" i="14"/>
  <c r="W20" i="14"/>
  <c r="W21" i="14" s="1"/>
  <c r="W22" i="14" s="1"/>
  <c r="W23" i="14" s="1"/>
  <c r="W24" i="14" s="1"/>
  <c r="W25" i="14" s="1"/>
  <c r="W26" i="14" s="1"/>
  <c r="W27" i="14" s="1"/>
  <c r="W28" i="14" s="1"/>
  <c r="W29" i="14" s="1"/>
  <c r="W30" i="14" s="1"/>
  <c r="W31" i="14" s="1"/>
  <c r="I20" i="14"/>
  <c r="I21" i="14" s="1"/>
  <c r="I22" i="14" s="1"/>
  <c r="I23" i="14" s="1"/>
  <c r="I24" i="14" s="1"/>
  <c r="I25" i="14" s="1"/>
  <c r="I26" i="14" s="1"/>
  <c r="I27" i="14" s="1"/>
  <c r="I28" i="14" s="1"/>
  <c r="I29" i="14" s="1"/>
  <c r="I30" i="14" s="1"/>
  <c r="I31" i="14" s="1"/>
  <c r="D20" i="14"/>
  <c r="AB19" i="14"/>
  <c r="AB20" i="14" s="1"/>
  <c r="AB21" i="14" s="1"/>
  <c r="AB22" i="14" s="1"/>
  <c r="AB23" i="14" s="1"/>
  <c r="AB24" i="14" s="1"/>
  <c r="AB25" i="14" s="1"/>
  <c r="AB26" i="14" s="1"/>
  <c r="AB27" i="14" s="1"/>
  <c r="AB28" i="14" s="1"/>
  <c r="AB29" i="14" s="1"/>
  <c r="AB30" i="14" s="1"/>
  <c r="AB31" i="14" s="1"/>
  <c r="X19" i="14"/>
  <c r="X20" i="14" s="1"/>
  <c r="X21" i="14" s="1"/>
  <c r="X22" i="14" s="1"/>
  <c r="X23" i="14" s="1"/>
  <c r="X24" i="14" s="1"/>
  <c r="X25" i="14" s="1"/>
  <c r="X26" i="14" s="1"/>
  <c r="X27" i="14" s="1"/>
  <c r="X28" i="14" s="1"/>
  <c r="X29" i="14" s="1"/>
  <c r="X30" i="14" s="1"/>
  <c r="X31" i="14" s="1"/>
  <c r="W19" i="14"/>
  <c r="V19" i="14"/>
  <c r="V20" i="14" s="1"/>
  <c r="V21" i="14" s="1"/>
  <c r="V22" i="14" s="1"/>
  <c r="V23" i="14" s="1"/>
  <c r="V24" i="14" s="1"/>
  <c r="V25" i="14" s="1"/>
  <c r="V26" i="14" s="1"/>
  <c r="V27" i="14" s="1"/>
  <c r="V28" i="14" s="1"/>
  <c r="V29" i="14" s="1"/>
  <c r="V30" i="14" s="1"/>
  <c r="V31" i="14" s="1"/>
  <c r="U19" i="14"/>
  <c r="U20" i="14" s="1"/>
  <c r="U21" i="14" s="1"/>
  <c r="U22" i="14" s="1"/>
  <c r="U23" i="14" s="1"/>
  <c r="U24" i="14" s="1"/>
  <c r="U25" i="14" s="1"/>
  <c r="U26" i="14" s="1"/>
  <c r="U27" i="14" s="1"/>
  <c r="U28" i="14" s="1"/>
  <c r="U29" i="14" s="1"/>
  <c r="U30" i="14" s="1"/>
  <c r="U31" i="14" s="1"/>
  <c r="T19" i="14"/>
  <c r="T20" i="14" s="1"/>
  <c r="T21" i="14" s="1"/>
  <c r="T22" i="14" s="1"/>
  <c r="T23" i="14" s="1"/>
  <c r="T24" i="14" s="1"/>
  <c r="T25" i="14" s="1"/>
  <c r="T26" i="14" s="1"/>
  <c r="T27" i="14" s="1"/>
  <c r="T28" i="14" s="1"/>
  <c r="T29" i="14" s="1"/>
  <c r="T30" i="14" s="1"/>
  <c r="T31" i="14" s="1"/>
  <c r="S19" i="14"/>
  <c r="R19" i="14"/>
  <c r="J19" i="14"/>
  <c r="J20" i="14" s="1"/>
  <c r="J21" i="14" s="1"/>
  <c r="J22" i="14" s="1"/>
  <c r="J23" i="14" s="1"/>
  <c r="J24" i="14" s="1"/>
  <c r="J25" i="14" s="1"/>
  <c r="J26" i="14" s="1"/>
  <c r="J27" i="14" s="1"/>
  <c r="J28" i="14" s="1"/>
  <c r="J29" i="14" s="1"/>
  <c r="J30" i="14" s="1"/>
  <c r="J31" i="14" s="1"/>
  <c r="I19" i="14"/>
  <c r="H19" i="14"/>
  <c r="AB18" i="14"/>
  <c r="AA18" i="14"/>
  <c r="AA19" i="14" s="1"/>
  <c r="AA20" i="14" s="1"/>
  <c r="AA21" i="14" s="1"/>
  <c r="AA22" i="14" s="1"/>
  <c r="AA23" i="14" s="1"/>
  <c r="AA24" i="14" s="1"/>
  <c r="AA25" i="14" s="1"/>
  <c r="AA26" i="14" s="1"/>
  <c r="AA27" i="14" s="1"/>
  <c r="AA28" i="14" s="1"/>
  <c r="AA29" i="14" s="1"/>
  <c r="AA30" i="14" s="1"/>
  <c r="AA31" i="14" s="1"/>
  <c r="Z18" i="14"/>
  <c r="Z19" i="14" s="1"/>
  <c r="Z20" i="14" s="1"/>
  <c r="Z21" i="14" s="1"/>
  <c r="Z22" i="14" s="1"/>
  <c r="Z23" i="14" s="1"/>
  <c r="Z24" i="14" s="1"/>
  <c r="Z25" i="14" s="1"/>
  <c r="Z26" i="14" s="1"/>
  <c r="Z27" i="14" s="1"/>
  <c r="Z28" i="14" s="1"/>
  <c r="Z29" i="14" s="1"/>
  <c r="Z30" i="14" s="1"/>
  <c r="Z31" i="14" s="1"/>
  <c r="Y18" i="14"/>
  <c r="Y19" i="14" s="1"/>
  <c r="Y20" i="14" s="1"/>
  <c r="Y21" i="14" s="1"/>
  <c r="Y22" i="14" s="1"/>
  <c r="Y23" i="14" s="1"/>
  <c r="Y24" i="14" s="1"/>
  <c r="Y25" i="14" s="1"/>
  <c r="Y26" i="14" s="1"/>
  <c r="Y27" i="14" s="1"/>
  <c r="Y28" i="14" s="1"/>
  <c r="Y29" i="14" s="1"/>
  <c r="Y30" i="14" s="1"/>
  <c r="Y31" i="14" s="1"/>
  <c r="X18" i="14"/>
  <c r="W18" i="14"/>
  <c r="V18" i="14"/>
  <c r="U18" i="14"/>
  <c r="T18" i="14"/>
  <c r="Q18" i="14"/>
  <c r="Q19" i="14" s="1"/>
  <c r="Q20" i="14" s="1"/>
  <c r="Q21" i="14" s="1"/>
  <c r="Q22" i="14" s="1"/>
  <c r="Q23" i="14" s="1"/>
  <c r="Q24" i="14" s="1"/>
  <c r="Q25" i="14" s="1"/>
  <c r="Q26" i="14" s="1"/>
  <c r="Q27" i="14" s="1"/>
  <c r="Q28" i="14" s="1"/>
  <c r="Q29" i="14" s="1"/>
  <c r="Q30" i="14" s="1"/>
  <c r="Q31" i="14" s="1"/>
  <c r="P18" i="14"/>
  <c r="P19" i="14" s="1"/>
  <c r="P20" i="14" s="1"/>
  <c r="P21" i="14" s="1"/>
  <c r="P22" i="14" s="1"/>
  <c r="P23" i="14" s="1"/>
  <c r="P24" i="14" s="1"/>
  <c r="P25" i="14" s="1"/>
  <c r="P26" i="14" s="1"/>
  <c r="P27" i="14" s="1"/>
  <c r="P28" i="14" s="1"/>
  <c r="P29" i="14" s="1"/>
  <c r="P30" i="14" s="1"/>
  <c r="P31" i="14" s="1"/>
  <c r="O18" i="14"/>
  <c r="O19" i="14" s="1"/>
  <c r="O20" i="14" s="1"/>
  <c r="O21" i="14" s="1"/>
  <c r="O22" i="14" s="1"/>
  <c r="O23" i="14" s="1"/>
  <c r="O24" i="14" s="1"/>
  <c r="O25" i="14" s="1"/>
  <c r="O26" i="14" s="1"/>
  <c r="O27" i="14" s="1"/>
  <c r="O28" i="14" s="1"/>
  <c r="O29" i="14" s="1"/>
  <c r="O30" i="14" s="1"/>
  <c r="O31" i="14" s="1"/>
  <c r="N18" i="14"/>
  <c r="N19" i="14" s="1"/>
  <c r="N20" i="14" s="1"/>
  <c r="N21" i="14" s="1"/>
  <c r="N22" i="14" s="1"/>
  <c r="N23" i="14" s="1"/>
  <c r="N24" i="14" s="1"/>
  <c r="N25" i="14" s="1"/>
  <c r="N26" i="14" s="1"/>
  <c r="N27" i="14" s="1"/>
  <c r="N28" i="14" s="1"/>
  <c r="N29" i="14" s="1"/>
  <c r="N30" i="14" s="1"/>
  <c r="N31" i="14" s="1"/>
  <c r="M18" i="14"/>
  <c r="M19" i="14" s="1"/>
  <c r="M20" i="14" s="1"/>
  <c r="M21" i="14" s="1"/>
  <c r="M22" i="14" s="1"/>
  <c r="M23" i="14" s="1"/>
  <c r="M24" i="14" s="1"/>
  <c r="M25" i="14" s="1"/>
  <c r="M26" i="14" s="1"/>
  <c r="M27" i="14" s="1"/>
  <c r="M28" i="14" s="1"/>
  <c r="M29" i="14" s="1"/>
  <c r="M30" i="14" s="1"/>
  <c r="M31" i="14" s="1"/>
  <c r="L18" i="14"/>
  <c r="L19" i="14" s="1"/>
  <c r="L20" i="14" s="1"/>
  <c r="L21" i="14" s="1"/>
  <c r="L22" i="14" s="1"/>
  <c r="L23" i="14" s="1"/>
  <c r="L24" i="14" s="1"/>
  <c r="L25" i="14" s="1"/>
  <c r="L26" i="14" s="1"/>
  <c r="L27" i="14" s="1"/>
  <c r="L28" i="14" s="1"/>
  <c r="L29" i="14" s="1"/>
  <c r="L30" i="14" s="1"/>
  <c r="L31" i="14" s="1"/>
  <c r="K18" i="14"/>
  <c r="K19" i="14" s="1"/>
  <c r="K20" i="14" s="1"/>
  <c r="K21" i="14" s="1"/>
  <c r="K22" i="14" s="1"/>
  <c r="K23" i="14" s="1"/>
  <c r="K24" i="14" s="1"/>
  <c r="K25" i="14" s="1"/>
  <c r="K26" i="14" s="1"/>
  <c r="K27" i="14" s="1"/>
  <c r="K28" i="14" s="1"/>
  <c r="K29" i="14" s="1"/>
  <c r="K30" i="14" s="1"/>
  <c r="K31" i="14" s="1"/>
  <c r="J18" i="14"/>
  <c r="I18" i="14"/>
  <c r="D18" i="14"/>
  <c r="AB16" i="14"/>
  <c r="AB15" i="14" s="1"/>
  <c r="AB14" i="14" s="1"/>
  <c r="AB13" i="14" s="1"/>
  <c r="AB12" i="14" s="1"/>
  <c r="AB11" i="14" s="1"/>
  <c r="AB10" i="14" s="1"/>
  <c r="AB9" i="14" s="1"/>
  <c r="AB8" i="14" s="1"/>
  <c r="AB7" i="14" s="1"/>
  <c r="AB6" i="14" s="1"/>
  <c r="AB5" i="14" s="1"/>
  <c r="AB4" i="14" s="1"/>
  <c r="AA16" i="14"/>
  <c r="AA15" i="14" s="1"/>
  <c r="AA14" i="14" s="1"/>
  <c r="AA13" i="14" s="1"/>
  <c r="AA12" i="14" s="1"/>
  <c r="AA11" i="14" s="1"/>
  <c r="AA10" i="14" s="1"/>
  <c r="AA9" i="14" s="1"/>
  <c r="AA8" i="14" s="1"/>
  <c r="AA7" i="14" s="1"/>
  <c r="AA6" i="14" s="1"/>
  <c r="AA5" i="14" s="1"/>
  <c r="AA4" i="14" s="1"/>
  <c r="Z16" i="14"/>
  <c r="Z15" i="14" s="1"/>
  <c r="Z14" i="14" s="1"/>
  <c r="Z13" i="14" s="1"/>
  <c r="Z12" i="14" s="1"/>
  <c r="Z11" i="14" s="1"/>
  <c r="Z10" i="14" s="1"/>
  <c r="Z9" i="14" s="1"/>
  <c r="Z8" i="14" s="1"/>
  <c r="Z7" i="14" s="1"/>
  <c r="Z6" i="14" s="1"/>
  <c r="Z5" i="14" s="1"/>
  <c r="Z4" i="14" s="1"/>
  <c r="Y16" i="14"/>
  <c r="Y15" i="14" s="1"/>
  <c r="Y14" i="14" s="1"/>
  <c r="Y13" i="14" s="1"/>
  <c r="Y12" i="14" s="1"/>
  <c r="Y11" i="14" s="1"/>
  <c r="Y10" i="14" s="1"/>
  <c r="Y9" i="14" s="1"/>
  <c r="Y8" i="14" s="1"/>
  <c r="Y7" i="14" s="1"/>
  <c r="Y6" i="14" s="1"/>
  <c r="Y5" i="14" s="1"/>
  <c r="Y4" i="14" s="1"/>
  <c r="X16" i="14"/>
  <c r="X15" i="14" s="1"/>
  <c r="X14" i="14" s="1"/>
  <c r="X13" i="14" s="1"/>
  <c r="X12" i="14" s="1"/>
  <c r="X11" i="14" s="1"/>
  <c r="X10" i="14" s="1"/>
  <c r="X9" i="14" s="1"/>
  <c r="X8" i="14" s="1"/>
  <c r="X7" i="14" s="1"/>
  <c r="X6" i="14" s="1"/>
  <c r="X5" i="14" s="1"/>
  <c r="X4" i="14" s="1"/>
  <c r="W16" i="14"/>
  <c r="V16" i="14"/>
  <c r="V15" i="14" s="1"/>
  <c r="V14" i="14" s="1"/>
  <c r="V13" i="14" s="1"/>
  <c r="V12" i="14" s="1"/>
  <c r="V11" i="14" s="1"/>
  <c r="V10" i="14" s="1"/>
  <c r="V9" i="14" s="1"/>
  <c r="V8" i="14" s="1"/>
  <c r="V7" i="14" s="1"/>
  <c r="V6" i="14" s="1"/>
  <c r="V5" i="14" s="1"/>
  <c r="V4" i="14" s="1"/>
  <c r="U16" i="14"/>
  <c r="T16" i="14"/>
  <c r="T15" i="14" s="1"/>
  <c r="T14" i="14" s="1"/>
  <c r="T13" i="14" s="1"/>
  <c r="T12" i="14" s="1"/>
  <c r="T11" i="14" s="1"/>
  <c r="T10" i="14" s="1"/>
  <c r="T9" i="14" s="1"/>
  <c r="T8" i="14" s="1"/>
  <c r="T7" i="14" s="1"/>
  <c r="T6" i="14" s="1"/>
  <c r="T5" i="14" s="1"/>
  <c r="T4" i="14" s="1"/>
  <c r="S16" i="14"/>
  <c r="R16" i="14"/>
  <c r="Q16" i="14"/>
  <c r="P16" i="14"/>
  <c r="O16" i="14"/>
  <c r="N16" i="14"/>
  <c r="N15" i="14" s="1"/>
  <c r="N14" i="14" s="1"/>
  <c r="N13" i="14" s="1"/>
  <c r="N12" i="14" s="1"/>
  <c r="N11" i="14" s="1"/>
  <c r="N10" i="14" s="1"/>
  <c r="N9" i="14" s="1"/>
  <c r="N8" i="14" s="1"/>
  <c r="N7" i="14" s="1"/>
  <c r="N6" i="14" s="1"/>
  <c r="N5" i="14" s="1"/>
  <c r="N4" i="14" s="1"/>
  <c r="M16" i="14"/>
  <c r="M15" i="14" s="1"/>
  <c r="M14" i="14" s="1"/>
  <c r="M13" i="14" s="1"/>
  <c r="M12" i="14" s="1"/>
  <c r="M11" i="14" s="1"/>
  <c r="M10" i="14" s="1"/>
  <c r="M9" i="14" s="1"/>
  <c r="M8" i="14" s="1"/>
  <c r="M7" i="14" s="1"/>
  <c r="M6" i="14" s="1"/>
  <c r="M5" i="14" s="1"/>
  <c r="M4" i="14" s="1"/>
  <c r="L16" i="14"/>
  <c r="L15" i="14" s="1"/>
  <c r="L14" i="14" s="1"/>
  <c r="L13" i="14" s="1"/>
  <c r="L12" i="14" s="1"/>
  <c r="L11" i="14" s="1"/>
  <c r="L10" i="14" s="1"/>
  <c r="L9" i="14" s="1"/>
  <c r="L8" i="14" s="1"/>
  <c r="L7" i="14" s="1"/>
  <c r="L6" i="14" s="1"/>
  <c r="L5" i="14" s="1"/>
  <c r="L4" i="14" s="1"/>
  <c r="K16" i="14"/>
  <c r="J16" i="14"/>
  <c r="J15" i="14" s="1"/>
  <c r="J14" i="14" s="1"/>
  <c r="J13" i="14" s="1"/>
  <c r="J12" i="14" s="1"/>
  <c r="J11" i="14" s="1"/>
  <c r="J10" i="14" s="1"/>
  <c r="J9" i="14" s="1"/>
  <c r="J8" i="14" s="1"/>
  <c r="J7" i="14" s="1"/>
  <c r="J6" i="14" s="1"/>
  <c r="J5" i="14" s="1"/>
  <c r="J4" i="14" s="1"/>
  <c r="I16" i="14"/>
  <c r="H16" i="14"/>
  <c r="W15" i="14"/>
  <c r="W14" i="14" s="1"/>
  <c r="W13" i="14" s="1"/>
  <c r="W12" i="14" s="1"/>
  <c r="W11" i="14" s="1"/>
  <c r="W10" i="14" s="1"/>
  <c r="W9" i="14" s="1"/>
  <c r="W8" i="14" s="1"/>
  <c r="W7" i="14" s="1"/>
  <c r="W6" i="14" s="1"/>
  <c r="W5" i="14" s="1"/>
  <c r="W4" i="14" s="1"/>
  <c r="U15" i="14"/>
  <c r="U14" i="14" s="1"/>
  <c r="U13" i="14" s="1"/>
  <c r="U12" i="14" s="1"/>
  <c r="U11" i="14" s="1"/>
  <c r="U10" i="14" s="1"/>
  <c r="U9" i="14" s="1"/>
  <c r="U8" i="14" s="1"/>
  <c r="U7" i="14" s="1"/>
  <c r="U6" i="14" s="1"/>
  <c r="U5" i="14" s="1"/>
  <c r="U4" i="14" s="1"/>
  <c r="Q15" i="14"/>
  <c r="Q14" i="14" s="1"/>
  <c r="Q13" i="14" s="1"/>
  <c r="Q12" i="14" s="1"/>
  <c r="Q11" i="14" s="1"/>
  <c r="Q10" i="14" s="1"/>
  <c r="Q9" i="14" s="1"/>
  <c r="Q8" i="14" s="1"/>
  <c r="Q7" i="14" s="1"/>
  <c r="Q6" i="14" s="1"/>
  <c r="Q5" i="14" s="1"/>
  <c r="Q4" i="14" s="1"/>
  <c r="P15" i="14"/>
  <c r="P14" i="14" s="1"/>
  <c r="P13" i="14" s="1"/>
  <c r="P12" i="14" s="1"/>
  <c r="P11" i="14" s="1"/>
  <c r="P10" i="14" s="1"/>
  <c r="P9" i="14" s="1"/>
  <c r="P8" i="14" s="1"/>
  <c r="P7" i="14" s="1"/>
  <c r="P6" i="14" s="1"/>
  <c r="P5" i="14" s="1"/>
  <c r="P4" i="14" s="1"/>
  <c r="O15" i="14"/>
  <c r="K15" i="14"/>
  <c r="I15" i="14"/>
  <c r="I14" i="14" s="1"/>
  <c r="I13" i="14" s="1"/>
  <c r="I12" i="14" s="1"/>
  <c r="I11" i="14" s="1"/>
  <c r="I10" i="14" s="1"/>
  <c r="I9" i="14" s="1"/>
  <c r="I8" i="14" s="1"/>
  <c r="I7" i="14" s="1"/>
  <c r="I6" i="14" s="1"/>
  <c r="I5" i="14" s="1"/>
  <c r="I4" i="14" s="1"/>
  <c r="S14" i="14"/>
  <c r="R14" i="14"/>
  <c r="O14" i="14"/>
  <c r="O13" i="14" s="1"/>
  <c r="O12" i="14" s="1"/>
  <c r="O11" i="14" s="1"/>
  <c r="O10" i="14" s="1"/>
  <c r="O9" i="14" s="1"/>
  <c r="O8" i="14" s="1"/>
  <c r="O7" i="14" s="1"/>
  <c r="O6" i="14" s="1"/>
  <c r="O5" i="14" s="1"/>
  <c r="O4" i="14" s="1"/>
  <c r="K14" i="14"/>
  <c r="H14" i="14"/>
  <c r="K13" i="14"/>
  <c r="K12" i="14" s="1"/>
  <c r="K11" i="14" s="1"/>
  <c r="K10" i="14" s="1"/>
  <c r="K9" i="14" s="1"/>
  <c r="K8" i="14" s="1"/>
  <c r="K7" i="14" s="1"/>
  <c r="K6" i="14" s="1"/>
  <c r="K5" i="14" s="1"/>
  <c r="K4" i="14" s="1"/>
  <c r="S12" i="14"/>
  <c r="R12" i="14"/>
  <c r="H12" i="14"/>
  <c r="S10" i="14"/>
  <c r="R10" i="14"/>
  <c r="H10" i="14"/>
  <c r="S8" i="14"/>
  <c r="R8" i="14"/>
  <c r="H8" i="14"/>
  <c r="S6" i="14"/>
  <c r="R6" i="14"/>
  <c r="H6" i="14"/>
  <c r="S4" i="14"/>
  <c r="R4" i="14"/>
  <c r="H4" i="14"/>
  <c r="FZ47" i="4"/>
  <c r="FY47" i="4"/>
  <c r="FX47" i="4"/>
  <c r="FW47" i="4"/>
  <c r="FV47" i="4"/>
  <c r="FU47" i="4"/>
  <c r="FT47" i="4"/>
  <c r="FS47" i="4"/>
  <c r="FR47" i="4"/>
  <c r="FQ47" i="4"/>
  <c r="FP47" i="4"/>
  <c r="FO47" i="4"/>
  <c r="FN47" i="4"/>
  <c r="FM47" i="4"/>
  <c r="FL47" i="4"/>
  <c r="FK47" i="4"/>
  <c r="FJ47" i="4"/>
  <c r="FI47" i="4"/>
  <c r="FH47" i="4"/>
  <c r="FG47" i="4"/>
  <c r="FF47" i="4"/>
  <c r="FE47" i="4"/>
  <c r="FD47" i="4"/>
  <c r="FC47" i="4"/>
  <c r="FB47" i="4"/>
  <c r="FA47" i="4"/>
  <c r="EZ47" i="4"/>
  <c r="EY47" i="4"/>
  <c r="EX47" i="4"/>
  <c r="EW47" i="4"/>
  <c r="EV47" i="4"/>
  <c r="EU47" i="4"/>
  <c r="ET47" i="4"/>
  <c r="ES47" i="4"/>
  <c r="ER47" i="4"/>
  <c r="EQ47" i="4"/>
  <c r="EP47" i="4"/>
  <c r="EO47" i="4"/>
  <c r="EB66" i="4"/>
  <c r="EB65" i="4"/>
  <c r="EB64" i="4"/>
  <c r="EB63" i="4"/>
  <c r="EB62" i="4"/>
  <c r="EB61" i="4"/>
  <c r="EB60" i="4"/>
  <c r="EB59" i="4"/>
  <c r="EB58" i="4"/>
  <c r="EB57" i="4"/>
  <c r="EB56" i="4"/>
  <c r="EB55" i="4"/>
  <c r="EB54" i="4"/>
  <c r="EB53" i="4"/>
  <c r="EB52" i="4"/>
  <c r="EB51" i="4"/>
  <c r="EB50" i="4"/>
  <c r="EB49" i="4"/>
  <c r="EB48" i="4"/>
  <c r="EB47" i="4"/>
  <c r="EB46" i="4"/>
  <c r="EB45" i="4"/>
  <c r="EB44" i="4"/>
  <c r="EB43" i="4"/>
  <c r="EB42" i="4"/>
  <c r="EB41" i="4"/>
  <c r="EC40" i="4"/>
  <c r="EC39" i="4"/>
  <c r="EC38" i="4"/>
  <c r="EC37" i="4"/>
  <c r="EC36" i="4"/>
  <c r="EC35" i="4"/>
  <c r="EC34" i="4"/>
  <c r="EC33" i="4"/>
  <c r="EC32" i="4"/>
  <c r="EC31" i="4"/>
  <c r="EC30" i="4"/>
  <c r="EC29" i="4"/>
  <c r="EC28" i="4"/>
  <c r="EC27" i="4"/>
  <c r="EC26" i="4"/>
  <c r="EC25" i="4"/>
  <c r="EC24" i="4"/>
  <c r="EC23" i="4"/>
  <c r="EC22" i="4"/>
  <c r="EC21" i="4"/>
  <c r="EC20" i="4"/>
  <c r="EC19" i="4"/>
  <c r="EC18" i="4"/>
  <c r="EC17" i="4"/>
  <c r="EC16" i="4"/>
  <c r="EC15" i="4"/>
  <c r="EC14" i="4"/>
  <c r="EC13" i="4"/>
  <c r="EC12" i="4"/>
  <c r="EC11" i="4"/>
  <c r="EC10" i="4"/>
  <c r="EC9" i="4"/>
  <c r="EC8" i="4"/>
  <c r="EC7" i="4"/>
  <c r="EC6" i="4"/>
  <c r="EC5" i="4"/>
  <c r="EC4" i="4"/>
  <c r="EC3" i="4"/>
  <c r="CN462" i="13"/>
  <c r="CE462" i="13"/>
  <c r="CD462" i="13"/>
  <c r="CA462" i="13"/>
  <c r="BS462" i="13"/>
  <c r="BR462" i="13"/>
  <c r="BO462" i="13"/>
  <c r="BG462" i="13"/>
  <c r="BF462" i="13"/>
  <c r="BC462" i="13"/>
  <c r="AU462" i="13"/>
  <c r="AT462" i="13"/>
  <c r="AP462" i="13"/>
  <c r="AF462" i="13"/>
  <c r="AD462" i="13"/>
  <c r="AA462" i="13"/>
  <c r="R462" i="13"/>
  <c r="Q462" i="13"/>
  <c r="N462" i="13"/>
  <c r="F462" i="13"/>
  <c r="DD461" i="13"/>
  <c r="CQ461" i="13"/>
  <c r="CP461" i="13"/>
  <c r="CD461" i="13"/>
  <c r="CC461" i="13"/>
  <c r="BR461" i="13"/>
  <c r="BQ461" i="13"/>
  <c r="BF461" i="13"/>
  <c r="BE461" i="13"/>
  <c r="AT461" i="13"/>
  <c r="AS461" i="13"/>
  <c r="AD461" i="13"/>
  <c r="AC461" i="13"/>
  <c r="Q461" i="13"/>
  <c r="P461" i="13"/>
  <c r="DD460" i="13"/>
  <c r="DC460" i="13"/>
  <c r="CP460" i="13"/>
  <c r="CO460" i="13"/>
  <c r="CC460" i="13"/>
  <c r="CB460" i="13"/>
  <c r="BQ460" i="13"/>
  <c r="BP460" i="13"/>
  <c r="BE460" i="13"/>
  <c r="BD460" i="13"/>
  <c r="AS460" i="13"/>
  <c r="AQ460" i="13"/>
  <c r="AC460" i="13"/>
  <c r="AB460" i="13"/>
  <c r="P460" i="13"/>
  <c r="O460" i="13"/>
  <c r="DC459" i="13"/>
  <c r="DB459" i="13"/>
  <c r="CO459" i="13"/>
  <c r="CN459" i="13"/>
  <c r="CB459" i="13"/>
  <c r="CA459" i="13"/>
  <c r="BP459" i="13"/>
  <c r="BO459" i="13"/>
  <c r="BD459" i="13"/>
  <c r="BC459" i="13"/>
  <c r="AQ459" i="13"/>
  <c r="AP459" i="13"/>
  <c r="AB459" i="13"/>
  <c r="AA459" i="13"/>
  <c r="O459" i="13"/>
  <c r="N459" i="13"/>
  <c r="DB458" i="13"/>
  <c r="CX458" i="13"/>
  <c r="CN458" i="13"/>
  <c r="CI458" i="13"/>
  <c r="CA458" i="13"/>
  <c r="BW458" i="13"/>
  <c r="BO458" i="13"/>
  <c r="BK458" i="13"/>
  <c r="BC458" i="13"/>
  <c r="AY458" i="13"/>
  <c r="AP458" i="13"/>
  <c r="AK458" i="13"/>
  <c r="AA458" i="13"/>
  <c r="V458" i="13"/>
  <c r="N458" i="13"/>
  <c r="J458" i="13"/>
  <c r="DD456" i="13"/>
  <c r="DC456" i="13"/>
  <c r="DB456" i="13"/>
  <c r="DA456" i="13"/>
  <c r="DA461" i="13" s="1"/>
  <c r="CZ456" i="13"/>
  <c r="CY456" i="13"/>
  <c r="CX456" i="13"/>
  <c r="CV456" i="13"/>
  <c r="CU456" i="13"/>
  <c r="CT456" i="13"/>
  <c r="CS456" i="13"/>
  <c r="CQ456" i="13"/>
  <c r="CP456" i="13"/>
  <c r="CO456" i="13"/>
  <c r="CN456" i="13"/>
  <c r="CL456" i="13"/>
  <c r="CL461" i="13" s="1"/>
  <c r="CK456" i="13"/>
  <c r="CJ456" i="13"/>
  <c r="CI456" i="13"/>
  <c r="CH456" i="13"/>
  <c r="CG456" i="13"/>
  <c r="CF456" i="13"/>
  <c r="CE456" i="13"/>
  <c r="CD456" i="13"/>
  <c r="CC456" i="13"/>
  <c r="CB456" i="13"/>
  <c r="CA456" i="13"/>
  <c r="BZ456" i="13"/>
  <c r="BZ461" i="13" s="1"/>
  <c r="BY456" i="13"/>
  <c r="BX456" i="13"/>
  <c r="BW456" i="13"/>
  <c r="BV456" i="13"/>
  <c r="BU456" i="13"/>
  <c r="BT456" i="13"/>
  <c r="BS456" i="13"/>
  <c r="BR456" i="13"/>
  <c r="BQ456" i="13"/>
  <c r="BP456" i="13"/>
  <c r="BO456" i="13"/>
  <c r="BN456" i="13"/>
  <c r="BN461" i="13" s="1"/>
  <c r="BM456" i="13"/>
  <c r="BL456" i="13"/>
  <c r="BK456" i="13"/>
  <c r="BJ456" i="13"/>
  <c r="BI456" i="13"/>
  <c r="BH456" i="13"/>
  <c r="BG456" i="13"/>
  <c r="BF456" i="13"/>
  <c r="BE456" i="13"/>
  <c r="BD456" i="13"/>
  <c r="BC456" i="13"/>
  <c r="BB456" i="13"/>
  <c r="BB461" i="13" s="1"/>
  <c r="BA456" i="13"/>
  <c r="AZ456" i="13"/>
  <c r="AY456" i="13"/>
  <c r="AX456" i="13"/>
  <c r="AW456" i="13"/>
  <c r="AV456" i="13"/>
  <c r="AU456" i="13"/>
  <c r="AT456" i="13"/>
  <c r="AS456" i="13"/>
  <c r="AQ456" i="13"/>
  <c r="AP456" i="13"/>
  <c r="AO456" i="13"/>
  <c r="AO461" i="13" s="1"/>
  <c r="AM456" i="13"/>
  <c r="AL456" i="13"/>
  <c r="AK456" i="13"/>
  <c r="AJ456" i="13"/>
  <c r="AH456" i="13"/>
  <c r="AG456" i="13"/>
  <c r="AF456" i="13"/>
  <c r="AD456" i="13"/>
  <c r="AC456" i="13"/>
  <c r="AB456" i="13"/>
  <c r="AA456" i="13"/>
  <c r="Y456" i="13"/>
  <c r="Y461" i="13" s="1"/>
  <c r="X456" i="13"/>
  <c r="W456" i="13"/>
  <c r="V456" i="13"/>
  <c r="U456" i="13"/>
  <c r="T456" i="13"/>
  <c r="S456" i="13"/>
  <c r="R456" i="13"/>
  <c r="Q456" i="13"/>
  <c r="P456" i="13"/>
  <c r="O456" i="13"/>
  <c r="N456" i="13"/>
  <c r="M456" i="13"/>
  <c r="M461" i="13" s="1"/>
  <c r="L456" i="13"/>
  <c r="K456" i="13"/>
  <c r="J456" i="13"/>
  <c r="I456" i="13"/>
  <c r="H456" i="13"/>
  <c r="G456" i="13"/>
  <c r="F456" i="13"/>
  <c r="DD455" i="13"/>
  <c r="DD462" i="13" s="1"/>
  <c r="DC455" i="13"/>
  <c r="DC461" i="13" s="1"/>
  <c r="DB455" i="13"/>
  <c r="DB460" i="13" s="1"/>
  <c r="DA455" i="13"/>
  <c r="DA459" i="13" s="1"/>
  <c r="CZ455" i="13"/>
  <c r="CZ458" i="13" s="1"/>
  <c r="CY455" i="13"/>
  <c r="CY458" i="13" s="1"/>
  <c r="CX455" i="13"/>
  <c r="CX459" i="13" s="1"/>
  <c r="CV455" i="13"/>
  <c r="CV458" i="13" s="1"/>
  <c r="CU455" i="13"/>
  <c r="CU458" i="13" s="1"/>
  <c r="CT455" i="13"/>
  <c r="CT458" i="13" s="1"/>
  <c r="CS455" i="13"/>
  <c r="CS458" i="13" s="1"/>
  <c r="CQ455" i="13"/>
  <c r="CQ458" i="13" s="1"/>
  <c r="CP455" i="13"/>
  <c r="CP462" i="13" s="1"/>
  <c r="CO455" i="13"/>
  <c r="CO461" i="13" s="1"/>
  <c r="CN455" i="13"/>
  <c r="CN460" i="13" s="1"/>
  <c r="CL455" i="13"/>
  <c r="CL459" i="13" s="1"/>
  <c r="CK455" i="13"/>
  <c r="CK458" i="13" s="1"/>
  <c r="CJ455" i="13"/>
  <c r="CJ458" i="13" s="1"/>
  <c r="CI455" i="13"/>
  <c r="CI459" i="13" s="1"/>
  <c r="CH455" i="13"/>
  <c r="CH458" i="13" s="1"/>
  <c r="CG455" i="13"/>
  <c r="CG458" i="13" s="1"/>
  <c r="CF455" i="13"/>
  <c r="CF458" i="13" s="1"/>
  <c r="CE455" i="13"/>
  <c r="CE458" i="13" s="1"/>
  <c r="CD455" i="13"/>
  <c r="CD458" i="13" s="1"/>
  <c r="CC455" i="13"/>
  <c r="CC462" i="13" s="1"/>
  <c r="CB455" i="13"/>
  <c r="CB461" i="13" s="1"/>
  <c r="CA455" i="13"/>
  <c r="CA460" i="13" s="1"/>
  <c r="BZ455" i="13"/>
  <c r="BZ459" i="13" s="1"/>
  <c r="BY455" i="13"/>
  <c r="BY458" i="13" s="1"/>
  <c r="BX455" i="13"/>
  <c r="BX458" i="13" s="1"/>
  <c r="BW455" i="13"/>
  <c r="BW459" i="13" s="1"/>
  <c r="BV455" i="13"/>
  <c r="BV458" i="13" s="1"/>
  <c r="BU455" i="13"/>
  <c r="BU458" i="13" s="1"/>
  <c r="BT455" i="13"/>
  <c r="BT458" i="13" s="1"/>
  <c r="BS455" i="13"/>
  <c r="BS458" i="13" s="1"/>
  <c r="BR455" i="13"/>
  <c r="BR458" i="13" s="1"/>
  <c r="BQ455" i="13"/>
  <c r="BQ462" i="13" s="1"/>
  <c r="BP455" i="13"/>
  <c r="BP461" i="13" s="1"/>
  <c r="BO455" i="13"/>
  <c r="BO460" i="13" s="1"/>
  <c r="BN455" i="13"/>
  <c r="BN459" i="13" s="1"/>
  <c r="BM455" i="13"/>
  <c r="BM458" i="13" s="1"/>
  <c r="BL455" i="13"/>
  <c r="BL458" i="13" s="1"/>
  <c r="BK455" i="13"/>
  <c r="BK459" i="13" s="1"/>
  <c r="BJ455" i="13"/>
  <c r="BJ458" i="13" s="1"/>
  <c r="BI455" i="13"/>
  <c r="BI458" i="13" s="1"/>
  <c r="BH455" i="13"/>
  <c r="BH458" i="13" s="1"/>
  <c r="BG455" i="13"/>
  <c r="BG458" i="13" s="1"/>
  <c r="BF455" i="13"/>
  <c r="BF458" i="13" s="1"/>
  <c r="BE455" i="13"/>
  <c r="BE462" i="13" s="1"/>
  <c r="BD455" i="13"/>
  <c r="BD461" i="13" s="1"/>
  <c r="BC455" i="13"/>
  <c r="BC460" i="13" s="1"/>
  <c r="BB455" i="13"/>
  <c r="BB459" i="13" s="1"/>
  <c r="BA455" i="13"/>
  <c r="BA458" i="13" s="1"/>
  <c r="AZ455" i="13"/>
  <c r="AZ458" i="13" s="1"/>
  <c r="AY455" i="13"/>
  <c r="AY459" i="13" s="1"/>
  <c r="AX455" i="13"/>
  <c r="AX458" i="13" s="1"/>
  <c r="AW455" i="13"/>
  <c r="AW458" i="13" s="1"/>
  <c r="AV455" i="13"/>
  <c r="AV458" i="13" s="1"/>
  <c r="AU455" i="13"/>
  <c r="AU458" i="13" s="1"/>
  <c r="AT455" i="13"/>
  <c r="AT458" i="13" s="1"/>
  <c r="AS455" i="13"/>
  <c r="AS462" i="13" s="1"/>
  <c r="AQ455" i="13"/>
  <c r="AQ461" i="13" s="1"/>
  <c r="AP455" i="13"/>
  <c r="AP460" i="13" s="1"/>
  <c r="AO455" i="13"/>
  <c r="AO459" i="13" s="1"/>
  <c r="AM455" i="13"/>
  <c r="AM458" i="13" s="1"/>
  <c r="AL455" i="13"/>
  <c r="AL458" i="13" s="1"/>
  <c r="AK455" i="13"/>
  <c r="AK459" i="13" s="1"/>
  <c r="AJ455" i="13"/>
  <c r="AJ458" i="13" s="1"/>
  <c r="AH455" i="13"/>
  <c r="AH458" i="13" s="1"/>
  <c r="AG455" i="13"/>
  <c r="AG458" i="13" s="1"/>
  <c r="AF455" i="13"/>
  <c r="AF458" i="13" s="1"/>
  <c r="AD455" i="13"/>
  <c r="AD458" i="13" s="1"/>
  <c r="AC455" i="13"/>
  <c r="AC462" i="13" s="1"/>
  <c r="AB455" i="13"/>
  <c r="AB461" i="13" s="1"/>
  <c r="AA455" i="13"/>
  <c r="AA460" i="13" s="1"/>
  <c r="Y455" i="13"/>
  <c r="Y459" i="13" s="1"/>
  <c r="X455" i="13"/>
  <c r="X458" i="13" s="1"/>
  <c r="W455" i="13"/>
  <c r="W458" i="13" s="1"/>
  <c r="V455" i="13"/>
  <c r="V459" i="13" s="1"/>
  <c r="U455" i="13"/>
  <c r="U458" i="13" s="1"/>
  <c r="T455" i="13"/>
  <c r="T458" i="13" s="1"/>
  <c r="S455" i="13"/>
  <c r="S458" i="13" s="1"/>
  <c r="R455" i="13"/>
  <c r="R458" i="13" s="1"/>
  <c r="Q455" i="13"/>
  <c r="Q458" i="13" s="1"/>
  <c r="P455" i="13"/>
  <c r="P462" i="13" s="1"/>
  <c r="O455" i="13"/>
  <c r="O461" i="13" s="1"/>
  <c r="N455" i="13"/>
  <c r="N460" i="13" s="1"/>
  <c r="M455" i="13"/>
  <c r="M459" i="13" s="1"/>
  <c r="L455" i="13"/>
  <c r="L458" i="13" s="1"/>
  <c r="K455" i="13"/>
  <c r="K458" i="13" s="1"/>
  <c r="J455" i="13"/>
  <c r="J459" i="13" s="1"/>
  <c r="I455" i="13"/>
  <c r="I458" i="13" s="1"/>
  <c r="H455" i="13"/>
  <c r="H458" i="13" s="1"/>
  <c r="G455" i="13"/>
  <c r="G458" i="13" s="1"/>
  <c r="F455" i="13"/>
  <c r="F458" i="13" s="1"/>
  <c r="DE452" i="13"/>
  <c r="DE442" i="13"/>
  <c r="CV442" i="13"/>
  <c r="CU442" i="13"/>
  <c r="CT442" i="13"/>
  <c r="CS442" i="13"/>
  <c r="DE441" i="13"/>
  <c r="CQ440" i="13"/>
  <c r="CP440" i="13"/>
  <c r="CO440" i="13"/>
  <c r="CN440" i="13"/>
  <c r="CL440" i="13"/>
  <c r="CK440" i="13"/>
  <c r="CJ440" i="13"/>
  <c r="CI440" i="13"/>
  <c r="CH440" i="13"/>
  <c r="CG440" i="13"/>
  <c r="CF440" i="13"/>
  <c r="CE440" i="13"/>
  <c r="CD440" i="13"/>
  <c r="CC440" i="13"/>
  <c r="CB440" i="13"/>
  <c r="CA440" i="13"/>
  <c r="BZ440" i="13"/>
  <c r="BY440" i="13"/>
  <c r="BX440" i="13"/>
  <c r="BW440" i="13"/>
  <c r="BV440" i="13"/>
  <c r="BU440" i="13"/>
  <c r="BT440" i="13"/>
  <c r="BS440" i="13"/>
  <c r="BR440" i="13"/>
  <c r="BQ440" i="13"/>
  <c r="BP440" i="13"/>
  <c r="BO440" i="13"/>
  <c r="BN440" i="13"/>
  <c r="BM440" i="13"/>
  <c r="BL440" i="13"/>
  <c r="BK440" i="13"/>
  <c r="BJ440" i="13"/>
  <c r="BI440" i="13"/>
  <c r="BH440" i="13"/>
  <c r="BG440" i="13"/>
  <c r="BF440" i="13"/>
  <c r="BE440" i="13"/>
  <c r="BD440" i="13"/>
  <c r="BC440" i="13"/>
  <c r="BB440" i="13"/>
  <c r="BA440" i="13"/>
  <c r="AZ440" i="13"/>
  <c r="AY440" i="13"/>
  <c r="AX440" i="13"/>
  <c r="DD421" i="13"/>
  <c r="DC421" i="13"/>
  <c r="DB421" i="13"/>
  <c r="DA421" i="13"/>
  <c r="CZ421" i="13"/>
  <c r="CY421" i="13"/>
  <c r="CX421" i="13"/>
  <c r="CV421" i="13"/>
  <c r="CU421" i="13"/>
  <c r="CT421" i="13"/>
  <c r="CS421" i="13"/>
  <c r="CQ421" i="13"/>
  <c r="CP421" i="13"/>
  <c r="CO421" i="13"/>
  <c r="CN421" i="13"/>
  <c r="CL421" i="13"/>
  <c r="CK421" i="13"/>
  <c r="CJ421" i="13"/>
  <c r="CI421" i="13"/>
  <c r="CH421" i="13"/>
  <c r="CG421" i="13"/>
  <c r="CF421" i="13"/>
  <c r="CE421" i="13"/>
  <c r="CD421" i="13"/>
  <c r="CC421" i="13"/>
  <c r="CB421" i="13"/>
  <c r="CA421" i="13"/>
  <c r="BZ421" i="13"/>
  <c r="BY421" i="13"/>
  <c r="BX421" i="13"/>
  <c r="BW421" i="13"/>
  <c r="BV421" i="13"/>
  <c r="BU421" i="13"/>
  <c r="BT421" i="13"/>
  <c r="BS421" i="13"/>
  <c r="BR421" i="13"/>
  <c r="BQ421" i="13"/>
  <c r="BP421" i="13"/>
  <c r="BO421" i="13"/>
  <c r="BN421" i="13"/>
  <c r="BM421" i="13"/>
  <c r="BL421" i="13"/>
  <c r="BK421" i="13"/>
  <c r="BJ421" i="13"/>
  <c r="BI421" i="13"/>
  <c r="BH421" i="13"/>
  <c r="BG421" i="13"/>
  <c r="BF421" i="13"/>
  <c r="BE421" i="13"/>
  <c r="BD421" i="13"/>
  <c r="BC421" i="13"/>
  <c r="BB421" i="13"/>
  <c r="BA421" i="13"/>
  <c r="AZ421" i="13"/>
  <c r="AY421" i="13"/>
  <c r="AX421" i="13"/>
  <c r="AW421" i="13"/>
  <c r="AV421" i="13"/>
  <c r="AU421" i="13"/>
  <c r="AT421" i="13"/>
  <c r="AS421" i="13"/>
  <c r="AQ421" i="13"/>
  <c r="AP421" i="13"/>
  <c r="AO421" i="13"/>
  <c r="AM421" i="13"/>
  <c r="AL421" i="13"/>
  <c r="AK421" i="13"/>
  <c r="AJ421" i="13"/>
  <c r="AH421" i="13"/>
  <c r="AG421" i="13"/>
  <c r="AF421" i="13"/>
  <c r="AD421" i="13"/>
  <c r="AC421" i="13"/>
  <c r="AB421" i="13"/>
  <c r="AA421" i="13"/>
  <c r="Y421" i="13"/>
  <c r="X421" i="13"/>
  <c r="W421" i="13"/>
  <c r="V421" i="13"/>
  <c r="U421" i="13"/>
  <c r="T421" i="13"/>
  <c r="S421" i="13"/>
  <c r="R421" i="13"/>
  <c r="Q421" i="13"/>
  <c r="P421" i="13"/>
  <c r="O421" i="13"/>
  <c r="N421" i="13"/>
  <c r="M421" i="13"/>
  <c r="L421" i="13"/>
  <c r="K421" i="13"/>
  <c r="J421" i="13"/>
  <c r="I421" i="13"/>
  <c r="H421" i="13"/>
  <c r="G421" i="13"/>
  <c r="F421" i="13"/>
  <c r="DD420" i="13"/>
  <c r="DC420" i="13"/>
  <c r="DB420" i="13"/>
  <c r="DA420" i="13"/>
  <c r="CZ420" i="13"/>
  <c r="CY420" i="13"/>
  <c r="CX420" i="13"/>
  <c r="CV420" i="13"/>
  <c r="CU420" i="13"/>
  <c r="CT420" i="13"/>
  <c r="CS420" i="13"/>
  <c r="CQ420" i="13"/>
  <c r="CP420" i="13"/>
  <c r="CO420" i="13"/>
  <c r="CN420" i="13"/>
  <c r="CL420" i="13"/>
  <c r="CK420" i="13"/>
  <c r="CJ420" i="13"/>
  <c r="CI420" i="13"/>
  <c r="CH420" i="13"/>
  <c r="CG420" i="13"/>
  <c r="CF420" i="13"/>
  <c r="CE420" i="13"/>
  <c r="CD420" i="13"/>
  <c r="CC420" i="13"/>
  <c r="CB420" i="13"/>
  <c r="CA420" i="13"/>
  <c r="BZ420" i="13"/>
  <c r="BY420" i="13"/>
  <c r="BX420" i="13"/>
  <c r="BW420" i="13"/>
  <c r="BV420" i="13"/>
  <c r="BU420" i="13"/>
  <c r="BT420" i="13"/>
  <c r="BS420" i="13"/>
  <c r="BR420" i="13"/>
  <c r="BQ420" i="13"/>
  <c r="BP420" i="13"/>
  <c r="BO420" i="13"/>
  <c r="BN420" i="13"/>
  <c r="BM420" i="13"/>
  <c r="BL420" i="13"/>
  <c r="BK420" i="13"/>
  <c r="BJ420" i="13"/>
  <c r="BI420" i="13"/>
  <c r="BH420" i="13"/>
  <c r="BG420" i="13"/>
  <c r="BF420" i="13"/>
  <c r="BE420" i="13"/>
  <c r="BD420" i="13"/>
  <c r="BC420" i="13"/>
  <c r="BB420" i="13"/>
  <c r="BA420" i="13"/>
  <c r="AZ420" i="13"/>
  <c r="AY420" i="13"/>
  <c r="AX420" i="13"/>
  <c r="AW420" i="13"/>
  <c r="AV420" i="13"/>
  <c r="AU420" i="13"/>
  <c r="AT420" i="13"/>
  <c r="AS420" i="13"/>
  <c r="AQ420" i="13"/>
  <c r="AP420" i="13"/>
  <c r="AO420" i="13"/>
  <c r="AM420" i="13"/>
  <c r="AL420" i="13"/>
  <c r="AK420" i="13"/>
  <c r="AJ420" i="13"/>
  <c r="AH420" i="13"/>
  <c r="AG420" i="13"/>
  <c r="AF420" i="13"/>
  <c r="AD420" i="13"/>
  <c r="AC420" i="13"/>
  <c r="AB420" i="13"/>
  <c r="AA420" i="13"/>
  <c r="Y420" i="13"/>
  <c r="X420" i="13"/>
  <c r="W420" i="13"/>
  <c r="V420" i="13"/>
  <c r="U420" i="13"/>
  <c r="T420" i="13"/>
  <c r="S420" i="13"/>
  <c r="R420" i="13"/>
  <c r="Q420" i="13"/>
  <c r="P420" i="13"/>
  <c r="O420" i="13"/>
  <c r="N420" i="13"/>
  <c r="M420" i="13"/>
  <c r="L420" i="13"/>
  <c r="K420" i="13"/>
  <c r="J420" i="13"/>
  <c r="I420" i="13"/>
  <c r="H420" i="13"/>
  <c r="G420" i="13"/>
  <c r="F420" i="13"/>
  <c r="DD419" i="13"/>
  <c r="DC419" i="13"/>
  <c r="DB419" i="13"/>
  <c r="DA419" i="13"/>
  <c r="CZ419" i="13"/>
  <c r="CY419" i="13"/>
  <c r="CX419" i="13"/>
  <c r="CV419" i="13"/>
  <c r="CU419" i="13"/>
  <c r="CT419" i="13"/>
  <c r="CS419" i="13"/>
  <c r="CQ419" i="13"/>
  <c r="CP419" i="13"/>
  <c r="CO419" i="13"/>
  <c r="CN419" i="13"/>
  <c r="CL419" i="13"/>
  <c r="CK419" i="13"/>
  <c r="CJ419" i="13"/>
  <c r="CI419" i="13"/>
  <c r="CH419" i="13"/>
  <c r="CG419" i="13"/>
  <c r="CF419" i="13"/>
  <c r="CE419" i="13"/>
  <c r="CD419" i="13"/>
  <c r="CC419" i="13"/>
  <c r="CB419" i="13"/>
  <c r="CA419" i="13"/>
  <c r="BZ419" i="13"/>
  <c r="BY419" i="13"/>
  <c r="BX419" i="13"/>
  <c r="BW419" i="13"/>
  <c r="BV419" i="13"/>
  <c r="BU419" i="13"/>
  <c r="BT419" i="13"/>
  <c r="BS419" i="13"/>
  <c r="BR419" i="13"/>
  <c r="BQ419" i="13"/>
  <c r="BP419" i="13"/>
  <c r="BO419" i="13"/>
  <c r="BN419" i="13"/>
  <c r="BM419" i="13"/>
  <c r="BL419" i="13"/>
  <c r="BK419" i="13"/>
  <c r="BJ419" i="13"/>
  <c r="BI419" i="13"/>
  <c r="BH419" i="13"/>
  <c r="BG419" i="13"/>
  <c r="BF419" i="13"/>
  <c r="BE419" i="13"/>
  <c r="BD419" i="13"/>
  <c r="BC419" i="13"/>
  <c r="BB419" i="13"/>
  <c r="BA419" i="13"/>
  <c r="AZ419" i="13"/>
  <c r="AY419" i="13"/>
  <c r="AX419" i="13"/>
  <c r="AW419" i="13"/>
  <c r="AV419" i="13"/>
  <c r="AU419" i="13"/>
  <c r="AT419" i="13"/>
  <c r="AS419" i="13"/>
  <c r="AQ419" i="13"/>
  <c r="AP419" i="13"/>
  <c r="AO419" i="13"/>
  <c r="AM419" i="13"/>
  <c r="AL419" i="13"/>
  <c r="AK419" i="13"/>
  <c r="AJ419" i="13"/>
  <c r="AH419" i="13"/>
  <c r="AG419" i="13"/>
  <c r="AF419" i="13"/>
  <c r="AD419" i="13"/>
  <c r="AC419" i="13"/>
  <c r="AB419" i="13"/>
  <c r="AA419" i="13"/>
  <c r="Y419" i="13"/>
  <c r="X419" i="13"/>
  <c r="W419" i="13"/>
  <c r="V419" i="13"/>
  <c r="U419" i="13"/>
  <c r="T419" i="13"/>
  <c r="S419" i="13"/>
  <c r="R419" i="13"/>
  <c r="Q419" i="13"/>
  <c r="P419" i="13"/>
  <c r="O419" i="13"/>
  <c r="N419" i="13"/>
  <c r="M419" i="13"/>
  <c r="L419" i="13"/>
  <c r="K419" i="13"/>
  <c r="J419" i="13"/>
  <c r="I419" i="13"/>
  <c r="H419" i="13"/>
  <c r="G419" i="13"/>
  <c r="F419" i="13"/>
  <c r="CQ412" i="13"/>
  <c r="CP412" i="13"/>
  <c r="CO412" i="13"/>
  <c r="CN412" i="13"/>
  <c r="CL412" i="13"/>
  <c r="CK412" i="13"/>
  <c r="CJ412" i="13"/>
  <c r="CI412" i="13"/>
  <c r="CH412" i="13"/>
  <c r="CG412" i="13"/>
  <c r="CF412" i="13"/>
  <c r="CE412" i="13"/>
  <c r="CD412" i="13"/>
  <c r="CC412" i="13"/>
  <c r="CB412" i="13"/>
  <c r="CA412" i="13"/>
  <c r="BZ412" i="13"/>
  <c r="BY412" i="13"/>
  <c r="BX412" i="13"/>
  <c r="BW412" i="13"/>
  <c r="BV412" i="13"/>
  <c r="BU412" i="13"/>
  <c r="BT412" i="13"/>
  <c r="BS412" i="13"/>
  <c r="BR412" i="13"/>
  <c r="BQ412" i="13"/>
  <c r="BP412" i="13"/>
  <c r="BO412" i="13"/>
  <c r="BN412" i="13"/>
  <c r="BM412" i="13"/>
  <c r="BL412" i="13"/>
  <c r="BK412" i="13"/>
  <c r="BJ412" i="13"/>
  <c r="BI412" i="13"/>
  <c r="BH412" i="13"/>
  <c r="BG412" i="13"/>
  <c r="BF412" i="13"/>
  <c r="BE412" i="13"/>
  <c r="BD412" i="13"/>
  <c r="BC412" i="13"/>
  <c r="BB412" i="13"/>
  <c r="BA412" i="13"/>
  <c r="AZ412" i="13"/>
  <c r="AX412" i="13"/>
  <c r="B247" i="13"/>
  <c r="B246" i="13"/>
  <c r="B245" i="13"/>
  <c r="B244" i="13"/>
  <c r="B243" i="13"/>
  <c r="B242" i="13"/>
  <c r="B241" i="13"/>
  <c r="B240" i="13"/>
  <c r="B239" i="13"/>
  <c r="B238" i="13"/>
  <c r="B237" i="13"/>
  <c r="B236" i="13"/>
  <c r="B235" i="13"/>
  <c r="B234" i="13"/>
  <c r="B233" i="13"/>
  <c r="B232" i="13"/>
  <c r="B231" i="13"/>
  <c r="B230" i="13"/>
  <c r="B229" i="13"/>
  <c r="B228" i="13"/>
  <c r="B227" i="13"/>
  <c r="B226" i="13"/>
  <c r="B225" i="13"/>
  <c r="B224" i="13"/>
  <c r="B223" i="13"/>
  <c r="B222" i="13"/>
  <c r="B221" i="13"/>
  <c r="B220" i="13"/>
  <c r="B219" i="13"/>
  <c r="B218" i="13"/>
  <c r="B217" i="13"/>
  <c r="B216" i="13"/>
  <c r="B215" i="13"/>
  <c r="B214" i="13"/>
  <c r="B213" i="13"/>
  <c r="B212" i="13"/>
  <c r="B211" i="13"/>
  <c r="B210" i="13"/>
  <c r="B209" i="13"/>
  <c r="B208" i="13"/>
  <c r="B207" i="13"/>
  <c r="B206" i="13"/>
  <c r="B205" i="13"/>
  <c r="B204" i="13"/>
  <c r="B203" i="13"/>
  <c r="B202" i="13"/>
  <c r="B201" i="13"/>
  <c r="B200" i="13"/>
  <c r="B199" i="13"/>
  <c r="B198" i="13"/>
  <c r="B197" i="13"/>
  <c r="B196" i="13"/>
  <c r="B195" i="13"/>
  <c r="B194" i="13"/>
  <c r="B193" i="13"/>
  <c r="B192" i="13"/>
  <c r="B191" i="13"/>
  <c r="B190" i="13"/>
  <c r="B189" i="13"/>
  <c r="B188" i="13"/>
  <c r="B187" i="13"/>
  <c r="B186" i="13"/>
  <c r="B185" i="13"/>
  <c r="B184" i="13"/>
  <c r="B183" i="13"/>
  <c r="B182" i="13"/>
  <c r="B181" i="13"/>
  <c r="B180" i="13"/>
  <c r="B179" i="13"/>
  <c r="B178" i="13"/>
  <c r="B177" i="13"/>
  <c r="CR176" i="13"/>
  <c r="B176" i="13"/>
  <c r="B175" i="13"/>
  <c r="B174" i="13"/>
  <c r="B173" i="13"/>
  <c r="B172" i="13"/>
  <c r="B171" i="13"/>
  <c r="B170" i="13"/>
  <c r="B169" i="13"/>
  <c r="B168" i="13"/>
  <c r="B167" i="13"/>
  <c r="B166" i="13"/>
  <c r="B152" i="13"/>
  <c r="C152" i="13" s="1"/>
  <c r="CK144" i="13"/>
  <c r="CK158" i="13" s="1"/>
  <c r="CK163" i="13" s="1"/>
  <c r="CK176" i="13" s="1"/>
  <c r="CI144" i="13"/>
  <c r="CI158" i="13" s="1"/>
  <c r="CI163" i="13" s="1"/>
  <c r="CI176" i="13" s="1"/>
  <c r="BD144" i="13"/>
  <c r="BD158" i="13" s="1"/>
  <c r="BD163" i="13" s="1"/>
  <c r="BD176" i="13" s="1"/>
  <c r="CQ129" i="13"/>
  <c r="CQ144" i="13" s="1"/>
  <c r="CQ158" i="13" s="1"/>
  <c r="CQ163" i="13" s="1"/>
  <c r="CQ176" i="13" s="1"/>
  <c r="CO129" i="13"/>
  <c r="CO144" i="13" s="1"/>
  <c r="CO158" i="13" s="1"/>
  <c r="CO163" i="13" s="1"/>
  <c r="CO176" i="13" s="1"/>
  <c r="CM129" i="13"/>
  <c r="CM144" i="13" s="1"/>
  <c r="CM158" i="13" s="1"/>
  <c r="CM163" i="13" s="1"/>
  <c r="CM176" i="13" s="1"/>
  <c r="CL129" i="13"/>
  <c r="CL144" i="13" s="1"/>
  <c r="CL158" i="13" s="1"/>
  <c r="CL163" i="13" s="1"/>
  <c r="CL176" i="13" s="1"/>
  <c r="CK129" i="13"/>
  <c r="CE129" i="13"/>
  <c r="CE144" i="13" s="1"/>
  <c r="CE158" i="13" s="1"/>
  <c r="CE163" i="13" s="1"/>
  <c r="CE176" i="13" s="1"/>
  <c r="CC129" i="13"/>
  <c r="CC144" i="13" s="1"/>
  <c r="CC158" i="13" s="1"/>
  <c r="CC163" i="13" s="1"/>
  <c r="CC176" i="13" s="1"/>
  <c r="CB129" i="13"/>
  <c r="CB144" i="13" s="1"/>
  <c r="CB158" i="13" s="1"/>
  <c r="CB163" i="13" s="1"/>
  <c r="CB176" i="13" s="1"/>
  <c r="BZ129" i="13"/>
  <c r="BZ144" i="13" s="1"/>
  <c r="BZ158" i="13" s="1"/>
  <c r="BZ163" i="13" s="1"/>
  <c r="BZ176" i="13" s="1"/>
  <c r="BX129" i="13"/>
  <c r="BX144" i="13" s="1"/>
  <c r="BX158" i="13" s="1"/>
  <c r="BX163" i="13" s="1"/>
  <c r="BX176" i="13" s="1"/>
  <c r="BQ129" i="13"/>
  <c r="BQ144" i="13" s="1"/>
  <c r="BQ158" i="13" s="1"/>
  <c r="BQ163" i="13" s="1"/>
  <c r="BQ176" i="13" s="1"/>
  <c r="BO129" i="13"/>
  <c r="BO144" i="13" s="1"/>
  <c r="BO158" i="13" s="1"/>
  <c r="BO163" i="13" s="1"/>
  <c r="BO176" i="13" s="1"/>
  <c r="BN129" i="13"/>
  <c r="BN144" i="13" s="1"/>
  <c r="BN158" i="13" s="1"/>
  <c r="BN163" i="13" s="1"/>
  <c r="BN176" i="13" s="1"/>
  <c r="BM129" i="13"/>
  <c r="BM144" i="13" s="1"/>
  <c r="BM158" i="13" s="1"/>
  <c r="BM163" i="13" s="1"/>
  <c r="BM176" i="13" s="1"/>
  <c r="BK129" i="13"/>
  <c r="BK144" i="13" s="1"/>
  <c r="BK158" i="13" s="1"/>
  <c r="BK163" i="13" s="1"/>
  <c r="BK176" i="13" s="1"/>
  <c r="BE129" i="13"/>
  <c r="BE144" i="13" s="1"/>
  <c r="BE158" i="13" s="1"/>
  <c r="BE163" i="13" s="1"/>
  <c r="BE176" i="13" s="1"/>
  <c r="BD129" i="13"/>
  <c r="BB129" i="13"/>
  <c r="BB144" i="13" s="1"/>
  <c r="BB158" i="13" s="1"/>
  <c r="BB163" i="13" s="1"/>
  <c r="BB176" i="13" s="1"/>
  <c r="AD129" i="13"/>
  <c r="AD144" i="13" s="1"/>
  <c r="AD158" i="13" s="1"/>
  <c r="AD163" i="13" s="1"/>
  <c r="AD176" i="13" s="1"/>
  <c r="AA129" i="13"/>
  <c r="AA144" i="13" s="1"/>
  <c r="AA158" i="13" s="1"/>
  <c r="AA163" i="13" s="1"/>
  <c r="AA176" i="13" s="1"/>
  <c r="CT117" i="13"/>
  <c r="CT129" i="13" s="1"/>
  <c r="CT144" i="13" s="1"/>
  <c r="CT158" i="13" s="1"/>
  <c r="CT163" i="13" s="1"/>
  <c r="CS117" i="13"/>
  <c r="CS129" i="13" s="1"/>
  <c r="CS144" i="13" s="1"/>
  <c r="CS158" i="13" s="1"/>
  <c r="CS163" i="13" s="1"/>
  <c r="CQ117" i="13"/>
  <c r="CP117" i="13"/>
  <c r="CP129" i="13" s="1"/>
  <c r="CP144" i="13" s="1"/>
  <c r="CP158" i="13" s="1"/>
  <c r="CP163" i="13" s="1"/>
  <c r="CP176" i="13" s="1"/>
  <c r="CO117" i="13"/>
  <c r="CN117" i="13"/>
  <c r="CN129" i="13" s="1"/>
  <c r="CN144" i="13" s="1"/>
  <c r="CN158" i="13" s="1"/>
  <c r="CN163" i="13" s="1"/>
  <c r="CN176" i="13" s="1"/>
  <c r="CM117" i="13"/>
  <c r="CL117" i="13"/>
  <c r="CK117" i="13"/>
  <c r="CJ117" i="13"/>
  <c r="CJ129" i="13" s="1"/>
  <c r="CJ144" i="13" s="1"/>
  <c r="CJ158" i="13" s="1"/>
  <c r="CJ163" i="13" s="1"/>
  <c r="CJ176" i="13" s="1"/>
  <c r="CI117" i="13"/>
  <c r="CI129" i="13" s="1"/>
  <c r="CH117" i="13"/>
  <c r="CH129" i="13" s="1"/>
  <c r="CH144" i="13" s="1"/>
  <c r="CH158" i="13" s="1"/>
  <c r="CH163" i="13" s="1"/>
  <c r="CH176" i="13" s="1"/>
  <c r="CG117" i="13"/>
  <c r="CG129" i="13" s="1"/>
  <c r="CG144" i="13" s="1"/>
  <c r="CG158" i="13" s="1"/>
  <c r="CG163" i="13" s="1"/>
  <c r="CG176" i="13" s="1"/>
  <c r="CF117" i="13"/>
  <c r="CF129" i="13" s="1"/>
  <c r="CF144" i="13" s="1"/>
  <c r="CF158" i="13" s="1"/>
  <c r="CF163" i="13" s="1"/>
  <c r="CF176" i="13" s="1"/>
  <c r="CE117" i="13"/>
  <c r="CD117" i="13"/>
  <c r="CD129" i="13" s="1"/>
  <c r="CD144" i="13" s="1"/>
  <c r="CD158" i="13" s="1"/>
  <c r="CD163" i="13" s="1"/>
  <c r="CD176" i="13" s="1"/>
  <c r="CC117" i="13"/>
  <c r="CB117" i="13"/>
  <c r="CA117" i="13"/>
  <c r="CA129" i="13" s="1"/>
  <c r="CA144" i="13" s="1"/>
  <c r="CA158" i="13" s="1"/>
  <c r="CA163" i="13" s="1"/>
  <c r="CA176" i="13" s="1"/>
  <c r="BZ117" i="13"/>
  <c r="BY117" i="13"/>
  <c r="BY129" i="13" s="1"/>
  <c r="BY144" i="13" s="1"/>
  <c r="BY158" i="13" s="1"/>
  <c r="BY163" i="13" s="1"/>
  <c r="BY176" i="13" s="1"/>
  <c r="BX117" i="13"/>
  <c r="BW117" i="13"/>
  <c r="BW129" i="13" s="1"/>
  <c r="BW144" i="13" s="1"/>
  <c r="BW158" i="13" s="1"/>
  <c r="BW163" i="13" s="1"/>
  <c r="BW176" i="13" s="1"/>
  <c r="BV117" i="13"/>
  <c r="BV129" i="13" s="1"/>
  <c r="BV144" i="13" s="1"/>
  <c r="BV158" i="13" s="1"/>
  <c r="BV163" i="13" s="1"/>
  <c r="BV176" i="13" s="1"/>
  <c r="BU117" i="13"/>
  <c r="BU129" i="13" s="1"/>
  <c r="BU144" i="13" s="1"/>
  <c r="BU158" i="13" s="1"/>
  <c r="BU163" i="13" s="1"/>
  <c r="BU176" i="13" s="1"/>
  <c r="BT117" i="13"/>
  <c r="BT129" i="13" s="1"/>
  <c r="BT144" i="13" s="1"/>
  <c r="BT158" i="13" s="1"/>
  <c r="BT163" i="13" s="1"/>
  <c r="BT176" i="13" s="1"/>
  <c r="BS117" i="13"/>
  <c r="BS129" i="13" s="1"/>
  <c r="BS144" i="13" s="1"/>
  <c r="BS158" i="13" s="1"/>
  <c r="BS163" i="13" s="1"/>
  <c r="BS176" i="13" s="1"/>
  <c r="BR117" i="13"/>
  <c r="BR129" i="13" s="1"/>
  <c r="BR144" i="13" s="1"/>
  <c r="BR158" i="13" s="1"/>
  <c r="BR163" i="13" s="1"/>
  <c r="BR176" i="13" s="1"/>
  <c r="BQ117" i="13"/>
  <c r="BP117" i="13"/>
  <c r="BP129" i="13" s="1"/>
  <c r="BP144" i="13" s="1"/>
  <c r="BP158" i="13" s="1"/>
  <c r="BP163" i="13" s="1"/>
  <c r="BP176" i="13" s="1"/>
  <c r="BO117" i="13"/>
  <c r="BN117" i="13"/>
  <c r="BM117" i="13"/>
  <c r="BL117" i="13"/>
  <c r="BL129" i="13" s="1"/>
  <c r="BL144" i="13" s="1"/>
  <c r="BL158" i="13" s="1"/>
  <c r="BL163" i="13" s="1"/>
  <c r="BL176" i="13" s="1"/>
  <c r="BK117" i="13"/>
  <c r="BJ117" i="13"/>
  <c r="BJ129" i="13" s="1"/>
  <c r="BJ144" i="13" s="1"/>
  <c r="BJ158" i="13" s="1"/>
  <c r="BJ163" i="13" s="1"/>
  <c r="BJ176" i="13" s="1"/>
  <c r="BI117" i="13"/>
  <c r="BI129" i="13" s="1"/>
  <c r="BI144" i="13" s="1"/>
  <c r="BI158" i="13" s="1"/>
  <c r="BI163" i="13" s="1"/>
  <c r="BI176" i="13" s="1"/>
  <c r="BH117" i="13"/>
  <c r="BH129" i="13" s="1"/>
  <c r="BH144" i="13" s="1"/>
  <c r="BH158" i="13" s="1"/>
  <c r="BH163" i="13" s="1"/>
  <c r="BH176" i="13" s="1"/>
  <c r="BG117" i="13"/>
  <c r="BG129" i="13" s="1"/>
  <c r="BG144" i="13" s="1"/>
  <c r="BG158" i="13" s="1"/>
  <c r="BG163" i="13" s="1"/>
  <c r="BG176" i="13" s="1"/>
  <c r="BF117" i="13"/>
  <c r="BF129" i="13" s="1"/>
  <c r="BF144" i="13" s="1"/>
  <c r="BF158" i="13" s="1"/>
  <c r="BF163" i="13" s="1"/>
  <c r="BF176" i="13" s="1"/>
  <c r="BE117" i="13"/>
  <c r="BD117" i="13"/>
  <c r="BC117" i="13"/>
  <c r="BC129" i="13" s="1"/>
  <c r="BC144" i="13" s="1"/>
  <c r="BC158" i="13" s="1"/>
  <c r="BC163" i="13" s="1"/>
  <c r="BC176" i="13" s="1"/>
  <c r="BB117" i="13"/>
  <c r="BA117" i="13"/>
  <c r="BA129" i="13" s="1"/>
  <c r="BA144" i="13" s="1"/>
  <c r="BA158" i="13" s="1"/>
  <c r="BA163" i="13" s="1"/>
  <c r="BA176" i="13" s="1"/>
  <c r="AD117" i="13"/>
  <c r="AB117" i="13"/>
  <c r="AB129" i="13" s="1"/>
  <c r="AB144" i="13" s="1"/>
  <c r="AB158" i="13" s="1"/>
  <c r="AB163" i="13" s="1"/>
  <c r="AB176" i="13" s="1"/>
  <c r="AA117" i="13"/>
  <c r="DV93" i="13"/>
  <c r="DV96" i="13" s="1"/>
  <c r="DK93" i="13"/>
  <c r="DK96" i="13" s="1"/>
  <c r="EB65" i="13"/>
  <c r="EB64" i="13"/>
  <c r="EB63" i="13"/>
  <c r="EB61" i="13"/>
  <c r="EB60" i="13"/>
  <c r="EB59" i="13"/>
  <c r="DE59" i="13"/>
  <c r="DE117" i="13" s="1"/>
  <c r="DE129" i="13" s="1"/>
  <c r="DE144" i="13" s="1"/>
  <c r="DE158" i="13" s="1"/>
  <c r="DE163" i="13" s="1"/>
  <c r="CV59" i="13"/>
  <c r="CV117" i="13" s="1"/>
  <c r="CV129" i="13" s="1"/>
  <c r="CV144" i="13" s="1"/>
  <c r="CV158" i="13" s="1"/>
  <c r="CV163" i="13" s="1"/>
  <c r="CU59" i="13"/>
  <c r="CU117" i="13" s="1"/>
  <c r="CU129" i="13" s="1"/>
  <c r="CU144" i="13" s="1"/>
  <c r="CU158" i="13" s="1"/>
  <c r="CU163" i="13" s="1"/>
  <c r="CT59" i="13"/>
  <c r="CS59" i="13"/>
  <c r="CQ59" i="13"/>
  <c r="CP59" i="13"/>
  <c r="CO59" i="13"/>
  <c r="CN59" i="13"/>
  <c r="CM59" i="13"/>
  <c r="CL59" i="13"/>
  <c r="CK59" i="13"/>
  <c r="CJ59" i="13"/>
  <c r="CI59" i="13"/>
  <c r="CH59" i="13"/>
  <c r="CG59" i="13"/>
  <c r="CF59" i="13"/>
  <c r="CE59" i="13"/>
  <c r="CD59" i="13"/>
  <c r="CC59" i="13"/>
  <c r="CB59" i="13"/>
  <c r="CA59" i="13"/>
  <c r="BZ59" i="13"/>
  <c r="BY59" i="13"/>
  <c r="BX59" i="13"/>
  <c r="BW59" i="13"/>
  <c r="BV59" i="13"/>
  <c r="BU59" i="13"/>
  <c r="BT59" i="13"/>
  <c r="BS59" i="13"/>
  <c r="BR59" i="13"/>
  <c r="BQ59" i="13"/>
  <c r="BP59" i="13"/>
  <c r="BO59" i="13"/>
  <c r="BN59" i="13"/>
  <c r="BM59" i="13"/>
  <c r="BL59" i="13"/>
  <c r="BK59" i="13"/>
  <c r="BJ59" i="13"/>
  <c r="BI59" i="13"/>
  <c r="BH59" i="13"/>
  <c r="BG59" i="13"/>
  <c r="BF59" i="13"/>
  <c r="BE59" i="13"/>
  <c r="BD59" i="13"/>
  <c r="BC59" i="13"/>
  <c r="BB59" i="13"/>
  <c r="BA59" i="13"/>
  <c r="AZ59" i="13"/>
  <c r="AY59" i="13"/>
  <c r="AX59" i="13"/>
  <c r="AD59" i="13"/>
  <c r="AC59" i="13"/>
  <c r="AC117" i="13" s="1"/>
  <c r="AC129" i="13" s="1"/>
  <c r="AC144" i="13" s="1"/>
  <c r="AC158" i="13" s="1"/>
  <c r="AC163" i="13" s="1"/>
  <c r="AC176" i="13" s="1"/>
  <c r="AB59" i="13"/>
  <c r="AA59" i="13"/>
  <c r="EB57" i="13"/>
  <c r="EB56" i="13"/>
  <c r="EB54" i="13"/>
  <c r="EB53" i="13"/>
  <c r="EB51" i="13"/>
  <c r="EB48" i="13"/>
  <c r="GR47" i="13"/>
  <c r="GQ47" i="13"/>
  <c r="GP47" i="13"/>
  <c r="GO47" i="13"/>
  <c r="GN47" i="13"/>
  <c r="GM47" i="13"/>
  <c r="GL47" i="13"/>
  <c r="GK47" i="13"/>
  <c r="GJ47" i="13"/>
  <c r="GI47" i="13"/>
  <c r="GH47" i="13"/>
  <c r="GG47" i="13"/>
  <c r="GF47" i="13"/>
  <c r="GE47" i="13"/>
  <c r="GD47" i="13"/>
  <c r="GC47" i="13"/>
  <c r="GB47" i="13"/>
  <c r="GA47" i="13"/>
  <c r="FZ47" i="13"/>
  <c r="FY47" i="13"/>
  <c r="FX47" i="13"/>
  <c r="FW47" i="13"/>
  <c r="FV47" i="13"/>
  <c r="FU47" i="13"/>
  <c r="FT47" i="13"/>
  <c r="FS47" i="13"/>
  <c r="FR47" i="13"/>
  <c r="FQ47" i="13"/>
  <c r="FP47" i="13"/>
  <c r="FO47" i="13"/>
  <c r="FN47" i="13"/>
  <c r="FM47" i="13"/>
  <c r="FL47" i="13"/>
  <c r="FK47" i="13"/>
  <c r="FJ47" i="13"/>
  <c r="FI47" i="13"/>
  <c r="FH47" i="13"/>
  <c r="FG47" i="13"/>
  <c r="FF47" i="13"/>
  <c r="FE47" i="13"/>
  <c r="FD47" i="13"/>
  <c r="FC47" i="13"/>
  <c r="FB47" i="13"/>
  <c r="FA47" i="13"/>
  <c r="EZ47" i="13"/>
  <c r="EY47" i="13"/>
  <c r="EX47" i="13"/>
  <c r="EW47" i="13"/>
  <c r="EV47" i="13"/>
  <c r="EU47" i="13"/>
  <c r="ET47" i="13"/>
  <c r="ES47" i="13"/>
  <c r="ER47" i="13"/>
  <c r="EQ47" i="13"/>
  <c r="EP47" i="13"/>
  <c r="EO47" i="13"/>
  <c r="EB47" i="13"/>
  <c r="EB46" i="13"/>
  <c r="EB44" i="13"/>
  <c r="IJ43" i="13"/>
  <c r="IJ42" i="13"/>
  <c r="IJ41" i="13"/>
  <c r="IJ40" i="13"/>
  <c r="EB39" i="13"/>
  <c r="IJ38" i="13"/>
  <c r="IJ37" i="13"/>
  <c r="EB37" i="13"/>
  <c r="IJ36" i="13"/>
  <c r="IJ35" i="13"/>
  <c r="EB35" i="13"/>
  <c r="EB34" i="13"/>
  <c r="EB33" i="13"/>
  <c r="IJ32" i="13"/>
  <c r="EB29" i="13"/>
  <c r="EB28" i="13"/>
  <c r="EB26" i="13"/>
  <c r="EB25" i="13"/>
  <c r="IJ23" i="13"/>
  <c r="IJ22" i="13"/>
  <c r="EB22" i="13"/>
  <c r="IJ21" i="13"/>
  <c r="IJ20" i="13"/>
  <c r="IJ19" i="13"/>
  <c r="EB19" i="13"/>
  <c r="IJ18" i="13"/>
  <c r="IJ17" i="13"/>
  <c r="IJ16" i="13"/>
  <c r="EB16" i="13"/>
  <c r="IJ15" i="13"/>
  <c r="EB15" i="13"/>
  <c r="IJ14" i="13"/>
  <c r="EB14" i="13"/>
  <c r="IJ13" i="13"/>
  <c r="IJ12" i="13"/>
  <c r="EB12" i="13"/>
  <c r="IJ11" i="13"/>
  <c r="EB11" i="13"/>
  <c r="IJ10" i="13"/>
  <c r="IJ9" i="13"/>
  <c r="EB9" i="13"/>
  <c r="IJ8" i="13"/>
  <c r="IJ7" i="13"/>
  <c r="IJ6" i="13"/>
  <c r="EB6" i="13"/>
  <c r="C6" i="13"/>
  <c r="C7" i="13" s="1"/>
  <c r="C8" i="13" s="1"/>
  <c r="C9" i="13" s="1"/>
  <c r="C10" i="13" s="1"/>
  <c r="C11" i="13" s="1"/>
  <c r="C12" i="13" s="1"/>
  <c r="C13" i="13" s="1"/>
  <c r="C14" i="13" s="1"/>
  <c r="C15" i="13" s="1"/>
  <c r="C16" i="13" s="1"/>
  <c r="C17" i="13" s="1"/>
  <c r="C18" i="13" s="1"/>
  <c r="C19" i="13" s="1"/>
  <c r="C20" i="13" s="1"/>
  <c r="C21" i="13" s="1"/>
  <c r="C22" i="13" s="1"/>
  <c r="C23" i="13" s="1"/>
  <c r="C24" i="13" s="1"/>
  <c r="C25" i="13" s="1"/>
  <c r="C26" i="13" s="1"/>
  <c r="C27" i="13" s="1"/>
  <c r="C28" i="13" s="1"/>
  <c r="C29" i="13" s="1"/>
  <c r="C30" i="13" s="1"/>
  <c r="C31" i="13" s="1"/>
  <c r="C32" i="13" s="1"/>
  <c r="C33" i="13" s="1"/>
  <c r="C34" i="13" s="1"/>
  <c r="C35" i="13" s="1"/>
  <c r="C36" i="13" s="1"/>
  <c r="C37" i="13" s="1"/>
  <c r="C38" i="13" s="1"/>
  <c r="C39" i="13" s="1"/>
  <c r="C40" i="13" s="1"/>
  <c r="C41" i="13" s="1"/>
  <c r="C42" i="13" s="1"/>
  <c r="C43" i="13" s="1"/>
  <c r="C44" i="13" s="1"/>
  <c r="C45" i="13" s="1"/>
  <c r="C46" i="13" s="1"/>
  <c r="C47" i="13" s="1"/>
  <c r="C48" i="13" s="1"/>
  <c r="C49" i="13" s="1"/>
  <c r="C50" i="13" s="1"/>
  <c r="C51" i="13" s="1"/>
  <c r="C52" i="13" s="1"/>
  <c r="C53" i="13" s="1"/>
  <c r="C54" i="13" s="1"/>
  <c r="C55" i="13" s="1"/>
  <c r="C56" i="13" s="1"/>
  <c r="C57" i="13" s="1"/>
  <c r="C58" i="13" s="1"/>
  <c r="C59" i="13" s="1"/>
  <c r="C60" i="13" s="1"/>
  <c r="C61" i="13" s="1"/>
  <c r="C62" i="13" s="1"/>
  <c r="C63" i="13" s="1"/>
  <c r="C64" i="13" s="1"/>
  <c r="C65" i="13" s="1"/>
  <c r="C66" i="13" s="1"/>
  <c r="C67" i="13" s="1"/>
  <c r="C68" i="13" s="1"/>
  <c r="C69" i="13" s="1"/>
  <c r="C70" i="13" s="1"/>
  <c r="C71" i="13" s="1"/>
  <c r="C72" i="13" s="1"/>
  <c r="C73" i="13" s="1"/>
  <c r="C74" i="13" s="1"/>
  <c r="C75" i="13" s="1"/>
  <c r="C76" i="13" s="1"/>
  <c r="C77" i="13" s="1"/>
  <c r="C78" i="13" s="1"/>
  <c r="C79" i="13" s="1"/>
  <c r="C80" i="13" s="1"/>
  <c r="C81" i="13" s="1"/>
  <c r="C82" i="13" s="1"/>
  <c r="C83" i="13" s="1"/>
  <c r="C84" i="13" s="1"/>
  <c r="C85" i="13" s="1"/>
  <c r="C86" i="13" s="1"/>
  <c r="C87" i="13" s="1"/>
  <c r="C88" i="13" s="1"/>
  <c r="C89" i="13" s="1"/>
  <c r="C90" i="13" s="1"/>
  <c r="C91" i="13" s="1"/>
  <c r="IJ5" i="13"/>
  <c r="C5" i="13"/>
  <c r="IJ4" i="13"/>
  <c r="A4" i="13"/>
  <c r="A5" i="13" s="1"/>
  <c r="IJ3" i="13"/>
  <c r="EB3" i="13"/>
  <c r="C3" i="13"/>
  <c r="C4" i="13" s="1"/>
  <c r="A3" i="13"/>
  <c r="B3" i="13" s="1"/>
  <c r="IJ2" i="13"/>
  <c r="B2" i="13"/>
  <c r="D77" i="5" l="1"/>
  <c r="Z18" i="5"/>
  <c r="Z19" i="5" s="1"/>
  <c r="Z20" i="5" s="1"/>
  <c r="Z21" i="5" s="1"/>
  <c r="Z22" i="5" s="1"/>
  <c r="Z23" i="5" s="1"/>
  <c r="Z24" i="5" s="1"/>
  <c r="Z25" i="5" s="1"/>
  <c r="Z26" i="5" s="1"/>
  <c r="Z27" i="5" s="1"/>
  <c r="Z28" i="5" s="1"/>
  <c r="Z29" i="5" s="1"/>
  <c r="Z30" i="5" s="1"/>
  <c r="Z31" i="5" s="1"/>
  <c r="U18" i="5"/>
  <c r="U19" i="5" s="1"/>
  <c r="U20" i="5" s="1"/>
  <c r="U21" i="5" s="1"/>
  <c r="U22" i="5" s="1"/>
  <c r="U23" i="5" s="1"/>
  <c r="U24" i="5" s="1"/>
  <c r="U25" i="5" s="1"/>
  <c r="U26" i="5" s="1"/>
  <c r="U27" i="5" s="1"/>
  <c r="U28" i="5" s="1"/>
  <c r="U29" i="5" s="1"/>
  <c r="U30" i="5" s="1"/>
  <c r="U31" i="5" s="1"/>
  <c r="J18" i="5"/>
  <c r="J19" i="5" s="1"/>
  <c r="J20" i="5" s="1"/>
  <c r="J21" i="5" s="1"/>
  <c r="J22" i="5" s="1"/>
  <c r="J23" i="5" s="1"/>
  <c r="J24" i="5" s="1"/>
  <c r="J25" i="5" s="1"/>
  <c r="J26" i="5" s="1"/>
  <c r="J27" i="5" s="1"/>
  <c r="J28" i="5" s="1"/>
  <c r="J29" i="5" s="1"/>
  <c r="J30" i="5" s="1"/>
  <c r="J31" i="5" s="1"/>
  <c r="L151" i="5"/>
  <c r="L152" i="5" s="1"/>
  <c r="E48" i="5" s="1"/>
  <c r="V18" i="5"/>
  <c r="V19" i="5" s="1"/>
  <c r="V20" i="5" s="1"/>
  <c r="V21" i="5" s="1"/>
  <c r="V22" i="5" s="1"/>
  <c r="V23" i="5" s="1"/>
  <c r="V24" i="5" s="1"/>
  <c r="V25" i="5" s="1"/>
  <c r="V26" i="5" s="1"/>
  <c r="V27" i="5" s="1"/>
  <c r="V28" i="5" s="1"/>
  <c r="V29" i="5" s="1"/>
  <c r="V30" i="5" s="1"/>
  <c r="V31" i="5" s="1"/>
  <c r="M18" i="5"/>
  <c r="M19" i="5" s="1"/>
  <c r="M20" i="5" s="1"/>
  <c r="M21" i="5" s="1"/>
  <c r="M22" i="5" s="1"/>
  <c r="M23" i="5" s="1"/>
  <c r="M24" i="5" s="1"/>
  <c r="M25" i="5" s="1"/>
  <c r="M26" i="5" s="1"/>
  <c r="M27" i="5" s="1"/>
  <c r="M28" i="5" s="1"/>
  <c r="M29" i="5" s="1"/>
  <c r="M30" i="5" s="1"/>
  <c r="M31" i="5" s="1"/>
  <c r="AA18" i="5"/>
  <c r="AA19" i="5" s="1"/>
  <c r="AA20" i="5" s="1"/>
  <c r="AA21" i="5" s="1"/>
  <c r="AA22" i="5" s="1"/>
  <c r="AA23" i="5" s="1"/>
  <c r="AA24" i="5" s="1"/>
  <c r="AA25" i="5" s="1"/>
  <c r="AA26" i="5" s="1"/>
  <c r="AA27" i="5" s="1"/>
  <c r="AA28" i="5" s="1"/>
  <c r="AA29" i="5" s="1"/>
  <c r="AA30" i="5" s="1"/>
  <c r="AA31" i="5" s="1"/>
  <c r="AR143" i="5"/>
  <c r="AR17" i="5" s="1"/>
  <c r="AR16" i="5" s="1"/>
  <c r="AR15" i="5" s="1"/>
  <c r="AR14" i="5" s="1"/>
  <c r="AR13" i="5" s="1"/>
  <c r="AR12" i="5" s="1"/>
  <c r="AR11" i="5" s="1"/>
  <c r="AR10" i="5" s="1"/>
  <c r="AR9" i="5" s="1"/>
  <c r="AR8" i="5" s="1"/>
  <c r="AR7" i="5" s="1"/>
  <c r="AR6" i="5" s="1"/>
  <c r="AR5" i="5" s="1"/>
  <c r="AR4" i="5" s="1"/>
  <c r="AM148" i="5"/>
  <c r="AD18" i="5"/>
  <c r="AD19" i="5" s="1"/>
  <c r="AD20" i="5" s="1"/>
  <c r="AD21" i="5" s="1"/>
  <c r="AD22" i="5" s="1"/>
  <c r="AD23" i="5" s="1"/>
  <c r="AD24" i="5" s="1"/>
  <c r="AD25" i="5" s="1"/>
  <c r="AD26" i="5" s="1"/>
  <c r="AD27" i="5" s="1"/>
  <c r="AD28" i="5" s="1"/>
  <c r="AD29" i="5" s="1"/>
  <c r="AD30" i="5" s="1"/>
  <c r="AD31" i="5" s="1"/>
  <c r="O18" i="5"/>
  <c r="O19" i="5" s="1"/>
  <c r="O20" i="5" s="1"/>
  <c r="O21" i="5" s="1"/>
  <c r="O22" i="5" s="1"/>
  <c r="O23" i="5" s="1"/>
  <c r="O24" i="5" s="1"/>
  <c r="O25" i="5" s="1"/>
  <c r="O26" i="5" s="1"/>
  <c r="O27" i="5" s="1"/>
  <c r="O28" i="5" s="1"/>
  <c r="O29" i="5" s="1"/>
  <c r="O30" i="5" s="1"/>
  <c r="O31" i="5" s="1"/>
  <c r="N18" i="5"/>
  <c r="N19" i="5" s="1"/>
  <c r="N20" i="5" s="1"/>
  <c r="N21" i="5" s="1"/>
  <c r="N22" i="5" s="1"/>
  <c r="N23" i="5" s="1"/>
  <c r="N24" i="5" s="1"/>
  <c r="N25" i="5" s="1"/>
  <c r="N26" i="5" s="1"/>
  <c r="N27" i="5" s="1"/>
  <c r="N28" i="5" s="1"/>
  <c r="N29" i="5" s="1"/>
  <c r="N30" i="5" s="1"/>
  <c r="N31" i="5" s="1"/>
  <c r="AE143" i="5"/>
  <c r="AE17" i="5" s="1"/>
  <c r="AE18" i="5" s="1"/>
  <c r="AE19" i="5" s="1"/>
  <c r="AE20" i="5" s="1"/>
  <c r="AE21" i="5" s="1"/>
  <c r="AE22" i="5" s="1"/>
  <c r="AE23" i="5" s="1"/>
  <c r="AE24" i="5" s="1"/>
  <c r="AE25" i="5" s="1"/>
  <c r="AE26" i="5" s="1"/>
  <c r="AE27" i="5" s="1"/>
  <c r="AE28" i="5" s="1"/>
  <c r="AE29" i="5" s="1"/>
  <c r="AE30" i="5" s="1"/>
  <c r="AE31" i="5" s="1"/>
  <c r="Q18" i="5"/>
  <c r="Q19" i="5" s="1"/>
  <c r="Q20" i="5" s="1"/>
  <c r="Q21" i="5" s="1"/>
  <c r="Q22" i="5" s="1"/>
  <c r="Q23" i="5" s="1"/>
  <c r="Q24" i="5" s="1"/>
  <c r="Q25" i="5" s="1"/>
  <c r="Q26" i="5" s="1"/>
  <c r="Q27" i="5" s="1"/>
  <c r="Q28" i="5" s="1"/>
  <c r="Q29" i="5" s="1"/>
  <c r="Q30" i="5" s="1"/>
  <c r="Q31" i="5" s="1"/>
  <c r="AO18" i="5"/>
  <c r="AO19" i="5" s="1"/>
  <c r="AO20" i="5" s="1"/>
  <c r="AO21" i="5" s="1"/>
  <c r="AO22" i="5" s="1"/>
  <c r="AO23" i="5" s="1"/>
  <c r="AO24" i="5" s="1"/>
  <c r="AO25" i="5" s="1"/>
  <c r="AO26" i="5" s="1"/>
  <c r="AO27" i="5" s="1"/>
  <c r="AO28" i="5" s="1"/>
  <c r="AO29" i="5" s="1"/>
  <c r="AO30" i="5" s="1"/>
  <c r="AO31" i="5" s="1"/>
  <c r="AF18" i="5"/>
  <c r="AF19" i="5" s="1"/>
  <c r="AF20" i="5" s="1"/>
  <c r="AF21" i="5" s="1"/>
  <c r="AF22" i="5" s="1"/>
  <c r="AF23" i="5" s="1"/>
  <c r="AF24" i="5" s="1"/>
  <c r="AF25" i="5" s="1"/>
  <c r="AF26" i="5" s="1"/>
  <c r="AF27" i="5" s="1"/>
  <c r="AF28" i="5" s="1"/>
  <c r="AF29" i="5" s="1"/>
  <c r="AF30" i="5" s="1"/>
  <c r="AF31" i="5" s="1"/>
  <c r="R18" i="5"/>
  <c r="R19" i="5" s="1"/>
  <c r="R20" i="5" s="1"/>
  <c r="R21" i="5" s="1"/>
  <c r="R22" i="5" s="1"/>
  <c r="R23" i="5" s="1"/>
  <c r="R24" i="5" s="1"/>
  <c r="R25" i="5" s="1"/>
  <c r="R26" i="5" s="1"/>
  <c r="R27" i="5" s="1"/>
  <c r="R28" i="5" s="1"/>
  <c r="R29" i="5" s="1"/>
  <c r="R30" i="5" s="1"/>
  <c r="R31" i="5" s="1"/>
  <c r="AM18" i="5"/>
  <c r="AM19" i="5" s="1"/>
  <c r="AM20" i="5" s="1"/>
  <c r="AM21" i="5" s="1"/>
  <c r="AM22" i="5" s="1"/>
  <c r="AM23" i="5" s="1"/>
  <c r="AM24" i="5" s="1"/>
  <c r="AM25" i="5" s="1"/>
  <c r="AM26" i="5" s="1"/>
  <c r="AM27" i="5" s="1"/>
  <c r="AM28" i="5" s="1"/>
  <c r="AM29" i="5" s="1"/>
  <c r="AM30" i="5" s="1"/>
  <c r="AM31" i="5" s="1"/>
  <c r="X148" i="5"/>
  <c r="D60" i="5" s="1"/>
  <c r="AP18" i="5"/>
  <c r="AP19" i="5" s="1"/>
  <c r="AP20" i="5" s="1"/>
  <c r="AP21" i="5" s="1"/>
  <c r="AP22" i="5" s="1"/>
  <c r="AP23" i="5" s="1"/>
  <c r="AP24" i="5" s="1"/>
  <c r="AP25" i="5" s="1"/>
  <c r="AP26" i="5" s="1"/>
  <c r="AP27" i="5" s="1"/>
  <c r="AP28" i="5" s="1"/>
  <c r="AP29" i="5" s="1"/>
  <c r="AP30" i="5" s="1"/>
  <c r="AP31" i="5" s="1"/>
  <c r="Y16" i="5"/>
  <c r="Y15" i="5" s="1"/>
  <c r="Y14" i="5" s="1"/>
  <c r="Y13" i="5" s="1"/>
  <c r="Y12" i="5" s="1"/>
  <c r="Y11" i="5" s="1"/>
  <c r="Y10" i="5" s="1"/>
  <c r="Y9" i="5" s="1"/>
  <c r="Y8" i="5" s="1"/>
  <c r="Y7" i="5" s="1"/>
  <c r="Y6" i="5" s="1"/>
  <c r="Y5" i="5" s="1"/>
  <c r="Y4" i="5" s="1"/>
  <c r="Y18" i="5"/>
  <c r="Y19" i="5" s="1"/>
  <c r="Y20" i="5" s="1"/>
  <c r="Y21" i="5" s="1"/>
  <c r="Y22" i="5" s="1"/>
  <c r="Y23" i="5" s="1"/>
  <c r="Y24" i="5" s="1"/>
  <c r="Y25" i="5" s="1"/>
  <c r="Y26" i="5" s="1"/>
  <c r="Y27" i="5" s="1"/>
  <c r="Y28" i="5" s="1"/>
  <c r="Y29" i="5" s="1"/>
  <c r="Y30" i="5" s="1"/>
  <c r="Y31" i="5" s="1"/>
  <c r="AK18" i="5"/>
  <c r="AK19" i="5" s="1"/>
  <c r="AK20" i="5" s="1"/>
  <c r="AK21" i="5" s="1"/>
  <c r="AK22" i="5" s="1"/>
  <c r="AK23" i="5" s="1"/>
  <c r="AK24" i="5" s="1"/>
  <c r="AK25" i="5" s="1"/>
  <c r="AK26" i="5" s="1"/>
  <c r="AK27" i="5" s="1"/>
  <c r="AK28" i="5" s="1"/>
  <c r="AK29" i="5" s="1"/>
  <c r="AK30" i="5" s="1"/>
  <c r="AK31" i="5" s="1"/>
  <c r="AG18" i="5"/>
  <c r="AG19" i="5" s="1"/>
  <c r="AG20" i="5" s="1"/>
  <c r="AG21" i="5" s="1"/>
  <c r="AG22" i="5" s="1"/>
  <c r="AG23" i="5" s="1"/>
  <c r="AG24" i="5" s="1"/>
  <c r="AG25" i="5" s="1"/>
  <c r="AG26" i="5" s="1"/>
  <c r="AG27" i="5" s="1"/>
  <c r="AG28" i="5" s="1"/>
  <c r="AG29" i="5" s="1"/>
  <c r="AG30" i="5" s="1"/>
  <c r="AG31" i="5" s="1"/>
  <c r="W18" i="5"/>
  <c r="W19" i="5" s="1"/>
  <c r="W20" i="5" s="1"/>
  <c r="W21" i="5" s="1"/>
  <c r="W22" i="5" s="1"/>
  <c r="W23" i="5" s="1"/>
  <c r="W24" i="5" s="1"/>
  <c r="W25" i="5" s="1"/>
  <c r="W26" i="5" s="1"/>
  <c r="W27" i="5" s="1"/>
  <c r="W28" i="5" s="1"/>
  <c r="W29" i="5" s="1"/>
  <c r="W30" i="5" s="1"/>
  <c r="W31" i="5" s="1"/>
  <c r="AL18" i="5"/>
  <c r="AL19" i="5" s="1"/>
  <c r="AL20" i="5" s="1"/>
  <c r="AL21" i="5" s="1"/>
  <c r="AL22" i="5" s="1"/>
  <c r="AL23" i="5" s="1"/>
  <c r="AL24" i="5" s="1"/>
  <c r="AL25" i="5" s="1"/>
  <c r="AL26" i="5" s="1"/>
  <c r="AL27" i="5" s="1"/>
  <c r="AL28" i="5" s="1"/>
  <c r="AL29" i="5" s="1"/>
  <c r="AL30" i="5" s="1"/>
  <c r="AL31" i="5" s="1"/>
  <c r="P18" i="5"/>
  <c r="P19" i="5" s="1"/>
  <c r="P20" i="5" s="1"/>
  <c r="P21" i="5" s="1"/>
  <c r="P22" i="5" s="1"/>
  <c r="P23" i="5" s="1"/>
  <c r="P24" i="5" s="1"/>
  <c r="P25" i="5" s="1"/>
  <c r="P26" i="5" s="1"/>
  <c r="P27" i="5" s="1"/>
  <c r="P28" i="5" s="1"/>
  <c r="P29" i="5" s="1"/>
  <c r="P30" i="5" s="1"/>
  <c r="P31" i="5" s="1"/>
  <c r="K18" i="5"/>
  <c r="K19" i="5" s="1"/>
  <c r="K20" i="5" s="1"/>
  <c r="K21" i="5" s="1"/>
  <c r="K22" i="5" s="1"/>
  <c r="K23" i="5" s="1"/>
  <c r="K24" i="5" s="1"/>
  <c r="K25" i="5" s="1"/>
  <c r="K26" i="5" s="1"/>
  <c r="K27" i="5" s="1"/>
  <c r="K28" i="5" s="1"/>
  <c r="K29" i="5" s="1"/>
  <c r="K30" i="5" s="1"/>
  <c r="K31" i="5" s="1"/>
  <c r="X18" i="5"/>
  <c r="X19" i="5" s="1"/>
  <c r="X20" i="5" s="1"/>
  <c r="X21" i="5" s="1"/>
  <c r="X22" i="5" s="1"/>
  <c r="X23" i="5" s="1"/>
  <c r="X24" i="5" s="1"/>
  <c r="X25" i="5" s="1"/>
  <c r="X26" i="5" s="1"/>
  <c r="X27" i="5" s="1"/>
  <c r="X28" i="5" s="1"/>
  <c r="X29" i="5" s="1"/>
  <c r="X30" i="5" s="1"/>
  <c r="X31" i="5" s="1"/>
  <c r="AJ18" i="5"/>
  <c r="AJ19" i="5" s="1"/>
  <c r="AJ20" i="5" s="1"/>
  <c r="AJ21" i="5" s="1"/>
  <c r="AJ22" i="5" s="1"/>
  <c r="AJ23" i="5" s="1"/>
  <c r="AJ24" i="5" s="1"/>
  <c r="AJ25" i="5" s="1"/>
  <c r="AJ26" i="5" s="1"/>
  <c r="AJ27" i="5" s="1"/>
  <c r="AJ28" i="5" s="1"/>
  <c r="AJ29" i="5" s="1"/>
  <c r="AJ30" i="5" s="1"/>
  <c r="AJ31" i="5" s="1"/>
  <c r="H16" i="5"/>
  <c r="H15" i="5" s="1"/>
  <c r="H14" i="5" s="1"/>
  <c r="H13" i="5" s="1"/>
  <c r="H12" i="5" s="1"/>
  <c r="H11" i="5" s="1"/>
  <c r="H10" i="5" s="1"/>
  <c r="H9" i="5" s="1"/>
  <c r="H8" i="5" s="1"/>
  <c r="H7" i="5" s="1"/>
  <c r="H6" i="5" s="1"/>
  <c r="H5" i="5" s="1"/>
  <c r="H4" i="5" s="1"/>
  <c r="L18" i="5"/>
  <c r="L19" i="5" s="1"/>
  <c r="L20" i="5" s="1"/>
  <c r="L21" i="5" s="1"/>
  <c r="L22" i="5" s="1"/>
  <c r="L23" i="5" s="1"/>
  <c r="L24" i="5" s="1"/>
  <c r="L25" i="5" s="1"/>
  <c r="L26" i="5" s="1"/>
  <c r="L27" i="5" s="1"/>
  <c r="L28" i="5" s="1"/>
  <c r="L29" i="5" s="1"/>
  <c r="L30" i="5" s="1"/>
  <c r="L31" i="5" s="1"/>
  <c r="AQ18" i="5"/>
  <c r="AQ19" i="5" s="1"/>
  <c r="AQ20" i="5" s="1"/>
  <c r="AQ21" i="5" s="1"/>
  <c r="AQ22" i="5" s="1"/>
  <c r="AQ23" i="5" s="1"/>
  <c r="AQ24" i="5" s="1"/>
  <c r="AQ25" i="5" s="1"/>
  <c r="AQ26" i="5" s="1"/>
  <c r="AQ27" i="5" s="1"/>
  <c r="AQ28" i="5" s="1"/>
  <c r="AQ29" i="5" s="1"/>
  <c r="AQ30" i="5" s="1"/>
  <c r="AQ31" i="5" s="1"/>
  <c r="AQ16" i="5"/>
  <c r="AQ15" i="5" s="1"/>
  <c r="AQ14" i="5" s="1"/>
  <c r="AQ13" i="5" s="1"/>
  <c r="AQ12" i="5" s="1"/>
  <c r="AQ11" i="5" s="1"/>
  <c r="AQ10" i="5" s="1"/>
  <c r="AQ9" i="5" s="1"/>
  <c r="AQ8" i="5" s="1"/>
  <c r="AQ7" i="5" s="1"/>
  <c r="AQ6" i="5" s="1"/>
  <c r="AQ5" i="5" s="1"/>
  <c r="AQ4" i="5" s="1"/>
  <c r="S18" i="5"/>
  <c r="S19" i="5" s="1"/>
  <c r="S20" i="5" s="1"/>
  <c r="S21" i="5" s="1"/>
  <c r="S22" i="5" s="1"/>
  <c r="S23" i="5" s="1"/>
  <c r="S24" i="5" s="1"/>
  <c r="S25" i="5" s="1"/>
  <c r="S26" i="5" s="1"/>
  <c r="S27" i="5" s="1"/>
  <c r="S28" i="5" s="1"/>
  <c r="S29" i="5" s="1"/>
  <c r="S30" i="5" s="1"/>
  <c r="S31" i="5" s="1"/>
  <c r="S16" i="5"/>
  <c r="S15" i="5" s="1"/>
  <c r="S14" i="5" s="1"/>
  <c r="S13" i="5" s="1"/>
  <c r="S12" i="5" s="1"/>
  <c r="S11" i="5" s="1"/>
  <c r="S10" i="5" s="1"/>
  <c r="S9" i="5" s="1"/>
  <c r="S8" i="5" s="1"/>
  <c r="S7" i="5" s="1"/>
  <c r="S6" i="5" s="1"/>
  <c r="S5" i="5" s="1"/>
  <c r="S4" i="5" s="1"/>
  <c r="AN18" i="5"/>
  <c r="AN19" i="5" s="1"/>
  <c r="AN20" i="5" s="1"/>
  <c r="AN21" i="5" s="1"/>
  <c r="AN22" i="5" s="1"/>
  <c r="AN23" i="5" s="1"/>
  <c r="AN24" i="5" s="1"/>
  <c r="AN25" i="5" s="1"/>
  <c r="AN26" i="5" s="1"/>
  <c r="AN27" i="5" s="1"/>
  <c r="AN28" i="5" s="1"/>
  <c r="AN29" i="5" s="1"/>
  <c r="AN30" i="5" s="1"/>
  <c r="AN31" i="5" s="1"/>
  <c r="AB18" i="5"/>
  <c r="AB19" i="5" s="1"/>
  <c r="AB20" i="5" s="1"/>
  <c r="AB21" i="5" s="1"/>
  <c r="AB22" i="5" s="1"/>
  <c r="AB23" i="5" s="1"/>
  <c r="AB24" i="5" s="1"/>
  <c r="AB25" i="5" s="1"/>
  <c r="AB26" i="5" s="1"/>
  <c r="AB27" i="5" s="1"/>
  <c r="AB28" i="5" s="1"/>
  <c r="AB29" i="5" s="1"/>
  <c r="AB30" i="5" s="1"/>
  <c r="AB31" i="5" s="1"/>
  <c r="AI18" i="5"/>
  <c r="AI19" i="5" s="1"/>
  <c r="AI20" i="5" s="1"/>
  <c r="AI21" i="5" s="1"/>
  <c r="AI22" i="5" s="1"/>
  <c r="AI23" i="5" s="1"/>
  <c r="AI24" i="5" s="1"/>
  <c r="AI25" i="5" s="1"/>
  <c r="AI26" i="5" s="1"/>
  <c r="AI27" i="5" s="1"/>
  <c r="AI28" i="5" s="1"/>
  <c r="AI29" i="5" s="1"/>
  <c r="AI30" i="5" s="1"/>
  <c r="AI31" i="5" s="1"/>
  <c r="AH18" i="5"/>
  <c r="AH19" i="5" s="1"/>
  <c r="AH20" i="5" s="1"/>
  <c r="AH21" i="5" s="1"/>
  <c r="AH22" i="5" s="1"/>
  <c r="AH23" i="5" s="1"/>
  <c r="AH24" i="5" s="1"/>
  <c r="AH25" i="5" s="1"/>
  <c r="AH26" i="5" s="1"/>
  <c r="AH27" i="5" s="1"/>
  <c r="AH28" i="5" s="1"/>
  <c r="AH29" i="5" s="1"/>
  <c r="AH30" i="5" s="1"/>
  <c r="AH31" i="5" s="1"/>
  <c r="AS18" i="5"/>
  <c r="AS19" i="5" s="1"/>
  <c r="AS20" i="5" s="1"/>
  <c r="AS21" i="5" s="1"/>
  <c r="AS22" i="5" s="1"/>
  <c r="AS23" i="5" s="1"/>
  <c r="AS24" i="5" s="1"/>
  <c r="AS25" i="5" s="1"/>
  <c r="AS26" i="5" s="1"/>
  <c r="AS27" i="5" s="1"/>
  <c r="AS28" i="5" s="1"/>
  <c r="AS29" i="5" s="1"/>
  <c r="AS30" i="5" s="1"/>
  <c r="AS31" i="5" s="1"/>
  <c r="H28" i="5"/>
  <c r="H29" i="5" s="1"/>
  <c r="H30" i="5" s="1"/>
  <c r="H31" i="5" s="1"/>
  <c r="D50" i="5"/>
  <c r="N151" i="5"/>
  <c r="N152" i="5" s="1"/>
  <c r="E50" i="5" s="1"/>
  <c r="D62" i="5"/>
  <c r="Z151" i="5"/>
  <c r="Z152" i="5" s="1"/>
  <c r="E62" i="5" s="1"/>
  <c r="D74" i="5"/>
  <c r="AL151" i="5"/>
  <c r="AL152" i="5" s="1"/>
  <c r="E74" i="5" s="1"/>
  <c r="D51" i="5"/>
  <c r="O151" i="5"/>
  <c r="O152" i="5" s="1"/>
  <c r="E51" i="5" s="1"/>
  <c r="D63" i="5"/>
  <c r="AA151" i="5"/>
  <c r="AA152" i="5" s="1"/>
  <c r="E63" i="5" s="1"/>
  <c r="D75" i="5"/>
  <c r="AM151" i="5"/>
  <c r="AM152" i="5" s="1"/>
  <c r="E75" i="5" s="1"/>
  <c r="R148" i="5"/>
  <c r="M148" i="5"/>
  <c r="Y148" i="5"/>
  <c r="AD148" i="5"/>
  <c r="D65" i="5"/>
  <c r="AP148" i="5"/>
  <c r="AJ151" i="5"/>
  <c r="AJ152" i="5" s="1"/>
  <c r="E72" i="5" s="1"/>
  <c r="P148" i="5"/>
  <c r="AB148" i="5"/>
  <c r="AN148" i="5"/>
  <c r="AI151" i="5"/>
  <c r="AI152" i="5" s="1"/>
  <c r="E71" i="5" s="1"/>
  <c r="D71" i="5"/>
  <c r="S148" i="5"/>
  <c r="AE148" i="5"/>
  <c r="AQ148" i="5"/>
  <c r="W151" i="5"/>
  <c r="W152" i="5" s="1"/>
  <c r="E59" i="5" s="1"/>
  <c r="D59" i="5"/>
  <c r="H148" i="5"/>
  <c r="T148" i="5"/>
  <c r="AF148" i="5"/>
  <c r="AR148" i="5"/>
  <c r="K151" i="5"/>
  <c r="K152" i="5" s="1"/>
  <c r="E47" i="5" s="1"/>
  <c r="D47" i="5"/>
  <c r="I148" i="5"/>
  <c r="U148" i="5"/>
  <c r="AG148" i="5"/>
  <c r="AS148" i="5"/>
  <c r="J148" i="5"/>
  <c r="V148" i="5"/>
  <c r="AH148" i="5"/>
  <c r="Q148" i="5"/>
  <c r="A6" i="13"/>
  <c r="B5" i="13"/>
  <c r="CU412" i="13"/>
  <c r="CU440" i="13" s="1"/>
  <c r="CU176" i="13"/>
  <c r="CV412" i="13"/>
  <c r="CV440" i="13" s="1"/>
  <c r="CV176" i="13"/>
  <c r="B4" i="13"/>
  <c r="CS412" i="13"/>
  <c r="CS440" i="13" s="1"/>
  <c r="CS176" i="13"/>
  <c r="CT412" i="13"/>
  <c r="CT440" i="13" s="1"/>
  <c r="CT176" i="13"/>
  <c r="M458" i="13"/>
  <c r="Y458" i="13"/>
  <c r="AO458" i="13"/>
  <c r="BB458" i="13"/>
  <c r="BN458" i="13"/>
  <c r="BZ458" i="13"/>
  <c r="CL458" i="13"/>
  <c r="DA458" i="13"/>
  <c r="CQ462" i="13"/>
  <c r="CS462" i="13"/>
  <c r="O458" i="13"/>
  <c r="AB458" i="13"/>
  <c r="AQ458" i="13"/>
  <c r="BD458" i="13"/>
  <c r="BP458" i="13"/>
  <c r="CB458" i="13"/>
  <c r="CO458" i="13"/>
  <c r="DC458" i="13"/>
  <c r="P459" i="13"/>
  <c r="AC459" i="13"/>
  <c r="AS459" i="13"/>
  <c r="BE459" i="13"/>
  <c r="BQ459" i="13"/>
  <c r="CC459" i="13"/>
  <c r="CP459" i="13"/>
  <c r="DD459" i="13"/>
  <c r="Q460" i="13"/>
  <c r="AD460" i="13"/>
  <c r="AT460" i="13"/>
  <c r="BF460" i="13"/>
  <c r="BR460" i="13"/>
  <c r="CD460" i="13"/>
  <c r="CQ460" i="13"/>
  <c r="F461" i="13"/>
  <c r="R461" i="13"/>
  <c r="AF461" i="13"/>
  <c r="AU461" i="13"/>
  <c r="BG461" i="13"/>
  <c r="BS461" i="13"/>
  <c r="CE461" i="13"/>
  <c r="CS461" i="13"/>
  <c r="G462" i="13"/>
  <c r="S462" i="13"/>
  <c r="AG462" i="13"/>
  <c r="AV462" i="13"/>
  <c r="BH462" i="13"/>
  <c r="BT462" i="13"/>
  <c r="CF462" i="13"/>
  <c r="CT462" i="13"/>
  <c r="P458" i="13"/>
  <c r="AC458" i="13"/>
  <c r="AS458" i="13"/>
  <c r="BE458" i="13"/>
  <c r="BQ458" i="13"/>
  <c r="CC458" i="13"/>
  <c r="CP458" i="13"/>
  <c r="DD458" i="13"/>
  <c r="Q459" i="13"/>
  <c r="AD459" i="13"/>
  <c r="AT459" i="13"/>
  <c r="BF459" i="13"/>
  <c r="BR459" i="13"/>
  <c r="CD459" i="13"/>
  <c r="CQ459" i="13"/>
  <c r="F460" i="13"/>
  <c r="R460" i="13"/>
  <c r="AF460" i="13"/>
  <c r="AU460" i="13"/>
  <c r="BG460" i="13"/>
  <c r="BS460" i="13"/>
  <c r="CE460" i="13"/>
  <c r="CS460" i="13"/>
  <c r="G461" i="13"/>
  <c r="S461" i="13"/>
  <c r="AG461" i="13"/>
  <c r="AV461" i="13"/>
  <c r="BH461" i="13"/>
  <c r="BT461" i="13"/>
  <c r="CF461" i="13"/>
  <c r="CT461" i="13"/>
  <c r="H462" i="13"/>
  <c r="T462" i="13"/>
  <c r="AH462" i="13"/>
  <c r="AW462" i="13"/>
  <c r="BI462" i="13"/>
  <c r="BU462" i="13"/>
  <c r="CG462" i="13"/>
  <c r="CU462" i="13"/>
  <c r="F459" i="13"/>
  <c r="R459" i="13"/>
  <c r="AF459" i="13"/>
  <c r="AU459" i="13"/>
  <c r="BG459" i="13"/>
  <c r="BS459" i="13"/>
  <c r="CE459" i="13"/>
  <c r="CS459" i="13"/>
  <c r="G460" i="13"/>
  <c r="S460" i="13"/>
  <c r="AG460" i="13"/>
  <c r="AV460" i="13"/>
  <c r="BH460" i="13"/>
  <c r="BT460" i="13"/>
  <c r="CF460" i="13"/>
  <c r="CT460" i="13"/>
  <c r="H461" i="13"/>
  <c r="T461" i="13"/>
  <c r="AH461" i="13"/>
  <c r="AW461" i="13"/>
  <c r="BI461" i="13"/>
  <c r="BU461" i="13"/>
  <c r="CG461" i="13"/>
  <c r="CU461" i="13"/>
  <c r="I462" i="13"/>
  <c r="U462" i="13"/>
  <c r="AJ462" i="13"/>
  <c r="AX462" i="13"/>
  <c r="BJ462" i="13"/>
  <c r="BV462" i="13"/>
  <c r="CH462" i="13"/>
  <c r="CV462" i="13"/>
  <c r="G459" i="13"/>
  <c r="S459" i="13"/>
  <c r="AG459" i="13"/>
  <c r="AV459" i="13"/>
  <c r="BH459" i="13"/>
  <c r="BT459" i="13"/>
  <c r="CF459" i="13"/>
  <c r="CT459" i="13"/>
  <c r="H460" i="13"/>
  <c r="T460" i="13"/>
  <c r="AH460" i="13"/>
  <c r="AW460" i="13"/>
  <c r="BI460" i="13"/>
  <c r="BU460" i="13"/>
  <c r="CG460" i="13"/>
  <c r="CU460" i="13"/>
  <c r="I461" i="13"/>
  <c r="U461" i="13"/>
  <c r="AJ461" i="13"/>
  <c r="AX461" i="13"/>
  <c r="BJ461" i="13"/>
  <c r="BV461" i="13"/>
  <c r="CH461" i="13"/>
  <c r="CV461" i="13"/>
  <c r="J462" i="13"/>
  <c r="V462" i="13"/>
  <c r="AK462" i="13"/>
  <c r="AY462" i="13"/>
  <c r="BK462" i="13"/>
  <c r="BW462" i="13"/>
  <c r="CI462" i="13"/>
  <c r="CX462" i="13"/>
  <c r="H459" i="13"/>
  <c r="T459" i="13"/>
  <c r="AH459" i="13"/>
  <c r="AW459" i="13"/>
  <c r="BI459" i="13"/>
  <c r="BU459" i="13"/>
  <c r="CG459" i="13"/>
  <c r="CU459" i="13"/>
  <c r="I460" i="13"/>
  <c r="U460" i="13"/>
  <c r="AJ460" i="13"/>
  <c r="AX460" i="13"/>
  <c r="BJ460" i="13"/>
  <c r="BV460" i="13"/>
  <c r="CH460" i="13"/>
  <c r="CV460" i="13"/>
  <c r="J461" i="13"/>
  <c r="V461" i="13"/>
  <c r="AK461" i="13"/>
  <c r="AY461" i="13"/>
  <c r="BK461" i="13"/>
  <c r="BW461" i="13"/>
  <c r="CI461" i="13"/>
  <c r="CX461" i="13"/>
  <c r="K462" i="13"/>
  <c r="W462" i="13"/>
  <c r="AL462" i="13"/>
  <c r="AZ462" i="13"/>
  <c r="BL462" i="13"/>
  <c r="BX462" i="13"/>
  <c r="CJ462" i="13"/>
  <c r="CY462" i="13"/>
  <c r="I459" i="13"/>
  <c r="U459" i="13"/>
  <c r="AJ459" i="13"/>
  <c r="AX459" i="13"/>
  <c r="BJ459" i="13"/>
  <c r="BV459" i="13"/>
  <c r="CH459" i="13"/>
  <c r="CV459" i="13"/>
  <c r="J460" i="13"/>
  <c r="V460" i="13"/>
  <c r="AK460" i="13"/>
  <c r="AY460" i="13"/>
  <c r="BK460" i="13"/>
  <c r="BW460" i="13"/>
  <c r="CI460" i="13"/>
  <c r="CX460" i="13"/>
  <c r="K461" i="13"/>
  <c r="W461" i="13"/>
  <c r="AL461" i="13"/>
  <c r="AZ461" i="13"/>
  <c r="BL461" i="13"/>
  <c r="BX461" i="13"/>
  <c r="CJ461" i="13"/>
  <c r="CY461" i="13"/>
  <c r="L462" i="13"/>
  <c r="X462" i="13"/>
  <c r="AM462" i="13"/>
  <c r="BA462" i="13"/>
  <c r="BM462" i="13"/>
  <c r="BY462" i="13"/>
  <c r="CK462" i="13"/>
  <c r="CZ462" i="13"/>
  <c r="K460" i="13"/>
  <c r="W460" i="13"/>
  <c r="AL460" i="13"/>
  <c r="AZ460" i="13"/>
  <c r="BL460" i="13"/>
  <c r="BX460" i="13"/>
  <c r="CJ460" i="13"/>
  <c r="CY460" i="13"/>
  <c r="L461" i="13"/>
  <c r="X461" i="13"/>
  <c r="AM461" i="13"/>
  <c r="BA461" i="13"/>
  <c r="BM461" i="13"/>
  <c r="BY461" i="13"/>
  <c r="CK461" i="13"/>
  <c r="CZ461" i="13"/>
  <c r="M462" i="13"/>
  <c r="Y462" i="13"/>
  <c r="AO462" i="13"/>
  <c r="BB462" i="13"/>
  <c r="BN462" i="13"/>
  <c r="BZ462" i="13"/>
  <c r="CL462" i="13"/>
  <c r="DA462" i="13"/>
  <c r="K459" i="13"/>
  <c r="W459" i="13"/>
  <c r="AL459" i="13"/>
  <c r="AZ459" i="13"/>
  <c r="BL459" i="13"/>
  <c r="BX459" i="13"/>
  <c r="CJ459" i="13"/>
  <c r="CY459" i="13"/>
  <c r="L460" i="13"/>
  <c r="X460" i="13"/>
  <c r="AM460" i="13"/>
  <c r="BA460" i="13"/>
  <c r="BM460" i="13"/>
  <c r="BY460" i="13"/>
  <c r="CK460" i="13"/>
  <c r="CZ460" i="13"/>
  <c r="DB462" i="13"/>
  <c r="L459" i="13"/>
  <c r="X459" i="13"/>
  <c r="AM459" i="13"/>
  <c r="BA459" i="13"/>
  <c r="BM459" i="13"/>
  <c r="BY459" i="13"/>
  <c r="CK459" i="13"/>
  <c r="CZ459" i="13"/>
  <c r="M460" i="13"/>
  <c r="Y460" i="13"/>
  <c r="AO460" i="13"/>
  <c r="BB460" i="13"/>
  <c r="BN460" i="13"/>
  <c r="BZ460" i="13"/>
  <c r="CL460" i="13"/>
  <c r="DA460" i="13"/>
  <c r="N461" i="13"/>
  <c r="AA461" i="13"/>
  <c r="AP461" i="13"/>
  <c r="BC461" i="13"/>
  <c r="BO461" i="13"/>
  <c r="CA461" i="13"/>
  <c r="CN461" i="13"/>
  <c r="DB461" i="13"/>
  <c r="O462" i="13"/>
  <c r="AB462" i="13"/>
  <c r="AQ462" i="13"/>
  <c r="BD462" i="13"/>
  <c r="BP462" i="13"/>
  <c r="CB462" i="13"/>
  <c r="CO462" i="13"/>
  <c r="DC462" i="13"/>
  <c r="O197" i="3"/>
  <c r="O198" i="3"/>
  <c r="O199" i="3"/>
  <c r="O200" i="3"/>
  <c r="O201" i="3"/>
  <c r="O202" i="3"/>
  <c r="O203" i="3"/>
  <c r="O20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45" i="3"/>
  <c r="O146" i="3"/>
  <c r="O147" i="3"/>
  <c r="O148" i="3"/>
  <c r="O149" i="3"/>
  <c r="O150" i="3"/>
  <c r="O151" i="3"/>
  <c r="O152" i="3"/>
  <c r="O153" i="3"/>
  <c r="O154" i="3"/>
  <c r="F155" i="3"/>
  <c r="F148" i="3"/>
  <c r="AR18" i="5" l="1"/>
  <c r="AR19" i="5" s="1"/>
  <c r="AR20" i="5" s="1"/>
  <c r="AR21" i="5" s="1"/>
  <c r="AR22" i="5" s="1"/>
  <c r="AR23" i="5" s="1"/>
  <c r="AR24" i="5" s="1"/>
  <c r="AR25" i="5" s="1"/>
  <c r="AR26" i="5" s="1"/>
  <c r="AR27" i="5" s="1"/>
  <c r="AR28" i="5" s="1"/>
  <c r="AR29" i="5" s="1"/>
  <c r="AR30" i="5" s="1"/>
  <c r="AR31" i="5" s="1"/>
  <c r="X151" i="5"/>
  <c r="X152" i="5" s="1"/>
  <c r="E60" i="5" s="1"/>
  <c r="AE16" i="5"/>
  <c r="AE15" i="5" s="1"/>
  <c r="AE14" i="5" s="1"/>
  <c r="AE13" i="5" s="1"/>
  <c r="AE12" i="5" s="1"/>
  <c r="AE11" i="5" s="1"/>
  <c r="AE10" i="5" s="1"/>
  <c r="AE9" i="5" s="1"/>
  <c r="AE8" i="5" s="1"/>
  <c r="AE7" i="5" s="1"/>
  <c r="AE6" i="5" s="1"/>
  <c r="AE5" i="5" s="1"/>
  <c r="AE4" i="5" s="1"/>
  <c r="D44" i="5"/>
  <c r="H151" i="5"/>
  <c r="H152" i="5" s="1"/>
  <c r="E44" i="5" s="1"/>
  <c r="AS151" i="5"/>
  <c r="AS152" i="5" s="1"/>
  <c r="E81" i="5" s="1"/>
  <c r="D81" i="5"/>
  <c r="U151" i="5"/>
  <c r="U152" i="5" s="1"/>
  <c r="E57" i="5" s="1"/>
  <c r="D57" i="5"/>
  <c r="I151" i="5"/>
  <c r="I152" i="5" s="1"/>
  <c r="E45" i="5" s="1"/>
  <c r="D45" i="5"/>
  <c r="AD151" i="5"/>
  <c r="AD152" i="5" s="1"/>
  <c r="E66" i="5" s="1"/>
  <c r="D66" i="5"/>
  <c r="D61" i="5"/>
  <c r="Y151" i="5"/>
  <c r="Y152" i="5" s="1"/>
  <c r="E61" i="5" s="1"/>
  <c r="AG151" i="5"/>
  <c r="AG152" i="5" s="1"/>
  <c r="E69" i="5" s="1"/>
  <c r="D69" i="5"/>
  <c r="D76" i="5"/>
  <c r="AN151" i="5"/>
  <c r="AN152" i="5" s="1"/>
  <c r="E76" i="5" s="1"/>
  <c r="D49" i="5"/>
  <c r="M151" i="5"/>
  <c r="M152" i="5" s="1"/>
  <c r="E49" i="5" s="1"/>
  <c r="AP151" i="5"/>
  <c r="AP152" i="5" s="1"/>
  <c r="E78" i="5" s="1"/>
  <c r="D78" i="5"/>
  <c r="AQ151" i="5"/>
  <c r="AQ152" i="5" s="1"/>
  <c r="E79" i="5" s="1"/>
  <c r="D79" i="5"/>
  <c r="D64" i="5"/>
  <c r="AB151" i="5"/>
  <c r="AB152" i="5" s="1"/>
  <c r="E64" i="5" s="1"/>
  <c r="R151" i="5"/>
  <c r="R152" i="5" s="1"/>
  <c r="E54" i="5" s="1"/>
  <c r="D54" i="5"/>
  <c r="AE151" i="5"/>
  <c r="AE152" i="5" s="1"/>
  <c r="E67" i="5" s="1"/>
  <c r="D67" i="5"/>
  <c r="D52" i="5"/>
  <c r="P151" i="5"/>
  <c r="P152" i="5" s="1"/>
  <c r="E52" i="5" s="1"/>
  <c r="Q151" i="5"/>
  <c r="Q152" i="5" s="1"/>
  <c r="E53" i="5" s="1"/>
  <c r="D53" i="5"/>
  <c r="AH151" i="5"/>
  <c r="AH152" i="5" s="1"/>
  <c r="E70" i="5" s="1"/>
  <c r="D70" i="5"/>
  <c r="D80" i="5"/>
  <c r="AR151" i="5"/>
  <c r="AR152" i="5" s="1"/>
  <c r="E80" i="5" s="1"/>
  <c r="S151" i="5"/>
  <c r="S152" i="5" s="1"/>
  <c r="E55" i="5" s="1"/>
  <c r="D55" i="5"/>
  <c r="V151" i="5"/>
  <c r="V152" i="5" s="1"/>
  <c r="E58" i="5" s="1"/>
  <c r="D58" i="5"/>
  <c r="D68" i="5"/>
  <c r="AF151" i="5"/>
  <c r="AF152" i="5" s="1"/>
  <c r="E68" i="5" s="1"/>
  <c r="J151" i="5"/>
  <c r="J152" i="5" s="1"/>
  <c r="E46" i="5" s="1"/>
  <c r="D46" i="5"/>
  <c r="D56" i="5"/>
  <c r="T151" i="5"/>
  <c r="T152" i="5" s="1"/>
  <c r="E56" i="5" s="1"/>
  <c r="B6" i="13"/>
  <c r="A7" i="13"/>
  <c r="B7" i="13" l="1"/>
  <c r="A8" i="13"/>
  <c r="A9" i="13" l="1"/>
  <c r="B8" i="13"/>
  <c r="B9" i="13" l="1"/>
  <c r="A10" i="13"/>
  <c r="Q67" i="2"/>
  <c r="Q68" i="2"/>
  <c r="Q69" i="2"/>
  <c r="Q70" i="2"/>
  <c r="Q71" i="2"/>
  <c r="Q72" i="2"/>
  <c r="Q65" i="2"/>
  <c r="Q66" i="2"/>
  <c r="A11" i="13" l="1"/>
  <c r="B10" i="13"/>
  <c r="B6" i="2"/>
  <c r="E14" i="2"/>
  <c r="E15" i="2"/>
  <c r="E16" i="2"/>
  <c r="E17" i="2"/>
  <c r="E18" i="2"/>
  <c r="E19" i="2"/>
  <c r="E20" i="2"/>
  <c r="E21" i="2"/>
  <c r="E22" i="2"/>
  <c r="D10" i="2"/>
  <c r="B7" i="2"/>
  <c r="D315" i="3" l="1"/>
  <c r="D316" i="3"/>
  <c r="A12" i="13"/>
  <c r="B11" i="13"/>
  <c r="D155" i="3"/>
  <c r="D148" i="3"/>
  <c r="D7" i="3"/>
  <c r="D11" i="3"/>
  <c r="D57" i="3"/>
  <c r="D37" i="3"/>
  <c r="D78" i="3"/>
  <c r="D98" i="3"/>
  <c r="D143" i="3"/>
  <c r="D157" i="3"/>
  <c r="D182" i="3"/>
  <c r="D196" i="3"/>
  <c r="D223" i="3"/>
  <c r="D235" i="3"/>
  <c r="D264" i="3"/>
  <c r="D277" i="3"/>
  <c r="D283" i="3"/>
  <c r="D308" i="3"/>
  <c r="D321" i="3"/>
  <c r="D345" i="3"/>
  <c r="D362" i="3"/>
  <c r="D4" i="3"/>
  <c r="D8" i="3"/>
  <c r="D12" i="3"/>
  <c r="D18" i="3"/>
  <c r="D25" i="3"/>
  <c r="D33" i="3"/>
  <c r="D40" i="3"/>
  <c r="D74" i="3"/>
  <c r="D84" i="3"/>
  <c r="D94" i="3"/>
  <c r="D114" i="3"/>
  <c r="D139" i="3"/>
  <c r="D159" i="3"/>
  <c r="D180" i="3"/>
  <c r="D191" i="3"/>
  <c r="D207" i="3"/>
  <c r="D225" i="3"/>
  <c r="D231" i="3"/>
  <c r="D260" i="3"/>
  <c r="D273" i="3"/>
  <c r="D303" i="3"/>
  <c r="D313" i="3"/>
  <c r="D324" i="3"/>
  <c r="D341" i="3"/>
  <c r="D367" i="3"/>
  <c r="D3" i="3"/>
  <c r="D16" i="3"/>
  <c r="D44" i="3"/>
  <c r="D88" i="3"/>
  <c r="D118" i="3"/>
  <c r="D170" i="3"/>
  <c r="D5" i="3"/>
  <c r="D13" i="3"/>
  <c r="D20" i="3"/>
  <c r="D26" i="3"/>
  <c r="D52" i="3"/>
  <c r="D64" i="3"/>
  <c r="D70" i="3"/>
  <c r="D106" i="3"/>
  <c r="D126" i="3"/>
  <c r="D130" i="3"/>
  <c r="D156" i="3"/>
  <c r="D166" i="3"/>
  <c r="D176" i="3"/>
  <c r="D204" i="3"/>
  <c r="D214" i="3"/>
  <c r="D243" i="3"/>
  <c r="D248" i="3"/>
  <c r="D266" i="3"/>
  <c r="D291" i="3"/>
  <c r="D299" i="3"/>
  <c r="D317" i="3"/>
  <c r="D330" i="3"/>
  <c r="D352" i="3"/>
  <c r="S1" i="3"/>
  <c r="D366" i="3"/>
  <c r="D361" i="3"/>
  <c r="D356" i="3"/>
  <c r="D351" i="3"/>
  <c r="D342" i="3"/>
  <c r="D346" i="3"/>
  <c r="D334" i="3"/>
  <c r="D331" i="3"/>
  <c r="D325" i="3"/>
  <c r="D322" i="3"/>
  <c r="D323" i="3"/>
  <c r="D318" i="3"/>
  <c r="D314" i="3"/>
  <c r="D309" i="3"/>
  <c r="D296" i="3"/>
  <c r="D300" i="3"/>
  <c r="D304" i="3"/>
  <c r="D284" i="3"/>
  <c r="D288" i="3"/>
  <c r="D292" i="3"/>
  <c r="D274" i="3"/>
  <c r="D278" i="3"/>
  <c r="D268" i="3"/>
  <c r="D257" i="3"/>
  <c r="D261" i="3"/>
  <c r="D265" i="3"/>
  <c r="D252" i="3"/>
  <c r="D249" i="3"/>
  <c r="D232" i="3"/>
  <c r="D236" i="3"/>
  <c r="D240" i="3"/>
  <c r="D244" i="3"/>
  <c r="D226" i="3"/>
  <c r="D220" i="3"/>
  <c r="D211" i="3"/>
  <c r="D215" i="3"/>
  <c r="D208" i="3"/>
  <c r="D197" i="3"/>
  <c r="D201" i="3"/>
  <c r="D194" i="3"/>
  <c r="D192" i="3"/>
  <c r="D183" i="3"/>
  <c r="D187" i="3"/>
  <c r="D177" i="3"/>
  <c r="D174" i="3"/>
  <c r="D171" i="3"/>
  <c r="D163" i="3"/>
  <c r="D162" i="3"/>
  <c r="D147" i="3"/>
  <c r="D152" i="3"/>
  <c r="D146" i="3"/>
  <c r="D140" i="3"/>
  <c r="D144" i="3"/>
  <c r="D132" i="3"/>
  <c r="D111" i="3"/>
  <c r="D115" i="3"/>
  <c r="D119" i="3"/>
  <c r="D123" i="3"/>
  <c r="D127" i="3"/>
  <c r="D95" i="3"/>
  <c r="D99" i="3"/>
  <c r="D103" i="3"/>
  <c r="D107" i="3"/>
  <c r="D85" i="3"/>
  <c r="D89" i="3"/>
  <c r="D83" i="3"/>
  <c r="D71" i="3"/>
  <c r="D75" i="3"/>
  <c r="D79" i="3"/>
  <c r="D61" i="3"/>
  <c r="D65" i="3"/>
  <c r="D41" i="3"/>
  <c r="D45" i="3"/>
  <c r="D49" i="3"/>
  <c r="D53" i="3"/>
  <c r="D34" i="3"/>
  <c r="D38" i="3"/>
  <c r="D29" i="3"/>
  <c r="D22" i="3"/>
  <c r="D21" i="3"/>
  <c r="D129" i="3"/>
  <c r="D17" i="3"/>
  <c r="D365" i="3"/>
  <c r="D360" i="3"/>
  <c r="D355" i="3"/>
  <c r="D350" i="3"/>
  <c r="D343" i="3"/>
  <c r="D347" i="3"/>
  <c r="D335" i="3"/>
  <c r="D332" i="3"/>
  <c r="D326" i="3"/>
  <c r="D333" i="3"/>
  <c r="D319" i="3"/>
  <c r="D311" i="3"/>
  <c r="D310" i="3"/>
  <c r="D297" i="3"/>
  <c r="D301" i="3"/>
  <c r="D305" i="3"/>
  <c r="D285" i="3"/>
  <c r="D289" i="3"/>
  <c r="D282" i="3"/>
  <c r="D275" i="3"/>
  <c r="D279" i="3"/>
  <c r="D269" i="3"/>
  <c r="D258" i="3"/>
  <c r="D262" i="3"/>
  <c r="D256" i="3"/>
  <c r="D251" i="3"/>
  <c r="D246" i="3"/>
  <c r="D233" i="3"/>
  <c r="D237" i="3"/>
  <c r="D241" i="3"/>
  <c r="D229" i="3"/>
  <c r="D227" i="3"/>
  <c r="D221" i="3"/>
  <c r="D212" i="3"/>
  <c r="D216" i="3"/>
  <c r="D206" i="3"/>
  <c r="D198" i="3"/>
  <c r="D202" i="3"/>
  <c r="D189" i="3"/>
  <c r="D193" i="3"/>
  <c r="D184" i="3"/>
  <c r="D181" i="3"/>
  <c r="D178" i="3"/>
  <c r="D168" i="3"/>
  <c r="D172" i="3"/>
  <c r="D164" i="3"/>
  <c r="D158" i="3"/>
  <c r="D160" i="3"/>
  <c r="D149" i="3"/>
  <c r="D153" i="3"/>
  <c r="D137" i="3"/>
  <c r="D141" i="3"/>
  <c r="D145" i="3"/>
  <c r="D133" i="3"/>
  <c r="D112" i="3"/>
  <c r="D116" i="3"/>
  <c r="D120" i="3"/>
  <c r="D124" i="3"/>
  <c r="D128" i="3"/>
  <c r="D96" i="3"/>
  <c r="D100" i="3"/>
  <c r="D104" i="3"/>
  <c r="D108" i="3"/>
  <c r="D86" i="3"/>
  <c r="D90" i="3"/>
  <c r="D81" i="3"/>
  <c r="D72" i="3"/>
  <c r="D76" i="3"/>
  <c r="D68" i="3"/>
  <c r="D62" i="3"/>
  <c r="D66" i="3"/>
  <c r="D42" i="3"/>
  <c r="D46" i="3"/>
  <c r="D50" i="3"/>
  <c r="D54" i="3"/>
  <c r="D35" i="3"/>
  <c r="D32" i="3"/>
  <c r="D30" i="3"/>
  <c r="D23" i="3"/>
  <c r="D368" i="3"/>
  <c r="D363" i="3"/>
  <c r="D358" i="3"/>
  <c r="D353" i="3"/>
  <c r="D340" i="3"/>
  <c r="D344" i="3"/>
  <c r="D348" i="3"/>
  <c r="D336" i="3"/>
  <c r="D328" i="3"/>
  <c r="D320" i="3"/>
  <c r="D329" i="3"/>
  <c r="D312" i="3"/>
  <c r="D307" i="3"/>
  <c r="D306" i="3"/>
  <c r="D298" i="3"/>
  <c r="D302" i="3"/>
  <c r="D294" i="3"/>
  <c r="D286" i="3"/>
  <c r="D290" i="3"/>
  <c r="D272" i="3"/>
  <c r="D276" i="3"/>
  <c r="D271" i="3"/>
  <c r="D270" i="3"/>
  <c r="D259" i="3"/>
  <c r="D263" i="3"/>
  <c r="D255" i="3"/>
  <c r="D247" i="3"/>
  <c r="D230" i="3"/>
  <c r="D234" i="3"/>
  <c r="D238" i="3"/>
  <c r="D242" i="3"/>
  <c r="D224" i="3"/>
  <c r="D228" i="3"/>
  <c r="D219" i="3"/>
  <c r="D213" i="3"/>
  <c r="D210" i="3"/>
  <c r="D195" i="3"/>
  <c r="D199" i="3"/>
  <c r="D203" i="3"/>
  <c r="D190" i="3"/>
  <c r="D188" i="3"/>
  <c r="D185" i="3"/>
  <c r="D175" i="3"/>
  <c r="D179" i="3"/>
  <c r="D169" i="3"/>
  <c r="D173" i="3"/>
  <c r="D165" i="3"/>
  <c r="D161" i="3"/>
  <c r="D150" i="3"/>
  <c r="D154" i="3"/>
  <c r="D138" i="3"/>
  <c r="D142" i="3"/>
  <c r="D136" i="3"/>
  <c r="D134" i="3"/>
  <c r="D113" i="3"/>
  <c r="D117" i="3"/>
  <c r="D121" i="3"/>
  <c r="D125" i="3"/>
  <c r="D110" i="3"/>
  <c r="D97" i="3"/>
  <c r="D101" i="3"/>
  <c r="D105" i="3"/>
  <c r="D93" i="3"/>
  <c r="D87" i="3"/>
  <c r="D91" i="3"/>
  <c r="D69" i="3"/>
  <c r="D73" i="3"/>
  <c r="D77" i="3"/>
  <c r="D59" i="3"/>
  <c r="D63" i="3"/>
  <c r="D58" i="3"/>
  <c r="D43" i="3"/>
  <c r="D47" i="3"/>
  <c r="D51" i="3"/>
  <c r="D39" i="3"/>
  <c r="D36" i="3"/>
  <c r="D27" i="3"/>
  <c r="D31" i="3"/>
  <c r="D24" i="3"/>
  <c r="D56" i="3"/>
  <c r="D19" i="3"/>
  <c r="D15" i="3"/>
  <c r="D9" i="3"/>
  <c r="D6" i="3"/>
  <c r="D10" i="3"/>
  <c r="D14" i="3"/>
  <c r="D253" i="3"/>
  <c r="D28" i="3"/>
  <c r="D48" i="3"/>
  <c r="D60" i="3"/>
  <c r="D92" i="3"/>
  <c r="D102" i="3"/>
  <c r="D122" i="3"/>
  <c r="D131" i="3"/>
  <c r="D151" i="3"/>
  <c r="D167" i="3"/>
  <c r="D186" i="3"/>
  <c r="D200" i="3"/>
  <c r="D218" i="3"/>
  <c r="D239" i="3"/>
  <c r="D254" i="3"/>
  <c r="D267" i="3"/>
  <c r="D287" i="3"/>
  <c r="D295" i="3"/>
  <c r="D327" i="3"/>
  <c r="D339" i="3"/>
  <c r="D357"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3" i="3"/>
  <c r="V4" i="3"/>
  <c r="V5" i="3"/>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3" i="3"/>
  <c r="A13" i="13" l="1"/>
  <c r="B12" i="13"/>
  <c r="C13" i="7"/>
  <c r="G37" i="2"/>
  <c r="I37" i="2"/>
  <c r="F202" i="3"/>
  <c r="F203" i="3"/>
  <c r="F197" i="3"/>
  <c r="F198" i="3"/>
  <c r="O93" i="3"/>
  <c r="O82" i="3"/>
  <c r="O80" i="3"/>
  <c r="O109" i="3"/>
  <c r="F70" i="3"/>
  <c r="O70" i="3"/>
  <c r="A14" i="13" l="1"/>
  <c r="B13" i="13"/>
  <c r="F59" i="2"/>
  <c r="H59" i="2"/>
  <c r="A15" i="13" l="1"/>
  <c r="B14" i="13"/>
  <c r="B2" i="4"/>
  <c r="IO2" i="4"/>
  <c r="A3" i="4"/>
  <c r="B3" i="4" s="1"/>
  <c r="C3" i="4"/>
  <c r="C4" i="4" s="1"/>
  <c r="C5" i="4" s="1"/>
  <c r="C6" i="4" s="1"/>
  <c r="C7" i="4" s="1"/>
  <c r="C8" i="4" s="1"/>
  <c r="C9" i="4" s="1"/>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s="1"/>
  <c r="C78" i="4" s="1"/>
  <c r="C79" i="4" s="1"/>
  <c r="C80" i="4" s="1"/>
  <c r="C81" i="4" s="1"/>
  <c r="C82" i="4" s="1"/>
  <c r="C83" i="4" s="1"/>
  <c r="C84" i="4" s="1"/>
  <c r="C85" i="4" s="1"/>
  <c r="C86" i="4" s="1"/>
  <c r="C87" i="4" s="1"/>
  <c r="C88" i="4" s="1"/>
  <c r="C89" i="4" s="1"/>
  <c r="C90" i="4" s="1"/>
  <c r="C91" i="4" s="1"/>
  <c r="IO3" i="4"/>
  <c r="IO4" i="4"/>
  <c r="IO5" i="4"/>
  <c r="IO6" i="4"/>
  <c r="IO7" i="4"/>
  <c r="IO8" i="4"/>
  <c r="IO9" i="4"/>
  <c r="IO10" i="4"/>
  <c r="IO11" i="4"/>
  <c r="IO12" i="4"/>
  <c r="IO13" i="4"/>
  <c r="IO14" i="4"/>
  <c r="IO15" i="4"/>
  <c r="IO16" i="4"/>
  <c r="IO17" i="4"/>
  <c r="IO18" i="4"/>
  <c r="IO19" i="4"/>
  <c r="IO20" i="4"/>
  <c r="IO21" i="4"/>
  <c r="IO22" i="4"/>
  <c r="IO23" i="4"/>
  <c r="IO32" i="4"/>
  <c r="IO35" i="4"/>
  <c r="IO36" i="4"/>
  <c r="IO37" i="4"/>
  <c r="IO38" i="4"/>
  <c r="IO40" i="4"/>
  <c r="IO41" i="4"/>
  <c r="IO42" i="4"/>
  <c r="IO43" i="4"/>
  <c r="AA59" i="4"/>
  <c r="AB59" i="4"/>
  <c r="AB117" i="4" s="1"/>
  <c r="AB129" i="4" s="1"/>
  <c r="AB144" i="4" s="1"/>
  <c r="AB158" i="4" s="1"/>
  <c r="AB163" i="4" s="1"/>
  <c r="AB176" i="4" s="1"/>
  <c r="AC59" i="4"/>
  <c r="AC117" i="4" s="1"/>
  <c r="AC129" i="4" s="1"/>
  <c r="AC144" i="4" s="1"/>
  <c r="AC158" i="4" s="1"/>
  <c r="AC163" i="4" s="1"/>
  <c r="AC176" i="4" s="1"/>
  <c r="AD59" i="4"/>
  <c r="AD117" i="4" s="1"/>
  <c r="AD129" i="4" s="1"/>
  <c r="AD144" i="4" s="1"/>
  <c r="AD158" i="4" s="1"/>
  <c r="AD163" i="4" s="1"/>
  <c r="AD176" i="4" s="1"/>
  <c r="AX59" i="4"/>
  <c r="AY59" i="4"/>
  <c r="AZ59" i="4"/>
  <c r="BA59" i="4"/>
  <c r="BB59" i="4"/>
  <c r="BC59" i="4"/>
  <c r="BD59" i="4"/>
  <c r="BE59" i="4"/>
  <c r="BF59" i="4"/>
  <c r="BG59" i="4"/>
  <c r="BH59" i="4"/>
  <c r="BI59" i="4"/>
  <c r="BJ59" i="4"/>
  <c r="BK59" i="4"/>
  <c r="BL59" i="4"/>
  <c r="BM59" i="4"/>
  <c r="BN59" i="4"/>
  <c r="BO59" i="4"/>
  <c r="BP59" i="4"/>
  <c r="BQ59" i="4"/>
  <c r="BR59" i="4"/>
  <c r="BS59" i="4"/>
  <c r="BT59" i="4"/>
  <c r="BU59" i="4"/>
  <c r="BV59" i="4"/>
  <c r="BW59" i="4"/>
  <c r="BX59" i="4"/>
  <c r="BY59" i="4"/>
  <c r="BZ59" i="4"/>
  <c r="CA59" i="4"/>
  <c r="CB59" i="4"/>
  <c r="CC59" i="4"/>
  <c r="CD59" i="4"/>
  <c r="CE59" i="4"/>
  <c r="CF59" i="4"/>
  <c r="CG59" i="4"/>
  <c r="CH59" i="4"/>
  <c r="CI59" i="4"/>
  <c r="CJ59" i="4"/>
  <c r="CK59" i="4"/>
  <c r="CL59" i="4"/>
  <c r="CM59" i="4"/>
  <c r="CN59" i="4"/>
  <c r="CO59" i="4"/>
  <c r="CP59" i="4"/>
  <c r="CQ59" i="4"/>
  <c r="CS59" i="4"/>
  <c r="CS117" i="4" s="1"/>
  <c r="CS129" i="4" s="1"/>
  <c r="CS144" i="4" s="1"/>
  <c r="CS158" i="4" s="1"/>
  <c r="CS163" i="4" s="1"/>
  <c r="CT59" i="4"/>
  <c r="CU59" i="4"/>
  <c r="CU117" i="4" s="1"/>
  <c r="CU129" i="4" s="1"/>
  <c r="CU144" i="4" s="1"/>
  <c r="CU158" i="4" s="1"/>
  <c r="CU163" i="4" s="1"/>
  <c r="CV59" i="4"/>
  <c r="CV117" i="4" s="1"/>
  <c r="CV129" i="4" s="1"/>
  <c r="CV144" i="4" s="1"/>
  <c r="CV158" i="4" s="1"/>
  <c r="CV163" i="4" s="1"/>
  <c r="DE59" i="4"/>
  <c r="DK93" i="4"/>
  <c r="DK96" i="4" s="1"/>
  <c r="L35" i="2" s="1"/>
  <c r="L46" i="2" s="1"/>
  <c r="DV93" i="4"/>
  <c r="DV96" i="4" s="1"/>
  <c r="L41" i="2" s="1"/>
  <c r="AA117" i="4"/>
  <c r="AA129" i="4" s="1"/>
  <c r="AA144" i="4" s="1"/>
  <c r="BA117" i="4"/>
  <c r="BA129" i="4" s="1"/>
  <c r="BA144" i="4" s="1"/>
  <c r="BA158" i="4" s="1"/>
  <c r="BA163" i="4" s="1"/>
  <c r="BA176" i="4" s="1"/>
  <c r="BB117" i="4"/>
  <c r="BB129" i="4" s="1"/>
  <c r="BB144" i="4" s="1"/>
  <c r="BB158" i="4" s="1"/>
  <c r="BB163" i="4" s="1"/>
  <c r="BB176" i="4" s="1"/>
  <c r="BC117" i="4"/>
  <c r="BC129" i="4" s="1"/>
  <c r="BC144" i="4" s="1"/>
  <c r="BC158" i="4" s="1"/>
  <c r="BC163" i="4" s="1"/>
  <c r="BC176" i="4" s="1"/>
  <c r="BD117" i="4"/>
  <c r="BD129" i="4" s="1"/>
  <c r="BD144" i="4" s="1"/>
  <c r="BD158" i="4" s="1"/>
  <c r="BD163" i="4" s="1"/>
  <c r="BD176" i="4" s="1"/>
  <c r="BE117" i="4"/>
  <c r="BE129" i="4" s="1"/>
  <c r="BE144" i="4" s="1"/>
  <c r="BE158" i="4" s="1"/>
  <c r="BE163" i="4" s="1"/>
  <c r="BE176" i="4" s="1"/>
  <c r="BF117" i="4"/>
  <c r="BF129" i="4" s="1"/>
  <c r="BF144" i="4" s="1"/>
  <c r="BF158" i="4" s="1"/>
  <c r="BF163" i="4" s="1"/>
  <c r="BF176" i="4" s="1"/>
  <c r="BG117" i="4"/>
  <c r="BG129" i="4" s="1"/>
  <c r="BG144" i="4" s="1"/>
  <c r="BG158" i="4" s="1"/>
  <c r="BG163" i="4" s="1"/>
  <c r="BG176" i="4" s="1"/>
  <c r="BH117" i="4"/>
  <c r="BH129" i="4" s="1"/>
  <c r="BH144" i="4" s="1"/>
  <c r="BH158" i="4" s="1"/>
  <c r="BH163" i="4" s="1"/>
  <c r="BH176" i="4" s="1"/>
  <c r="BI117" i="4"/>
  <c r="BI129" i="4" s="1"/>
  <c r="BI144" i="4" s="1"/>
  <c r="BI158" i="4" s="1"/>
  <c r="BI163" i="4" s="1"/>
  <c r="BI176" i="4" s="1"/>
  <c r="BJ117" i="4"/>
  <c r="BJ129" i="4" s="1"/>
  <c r="BJ144" i="4" s="1"/>
  <c r="BJ158" i="4" s="1"/>
  <c r="BJ163" i="4" s="1"/>
  <c r="BJ176" i="4" s="1"/>
  <c r="BK117" i="4"/>
  <c r="BK129" i="4" s="1"/>
  <c r="BK144" i="4" s="1"/>
  <c r="BK158" i="4" s="1"/>
  <c r="BK163" i="4" s="1"/>
  <c r="BK176" i="4" s="1"/>
  <c r="BL117" i="4"/>
  <c r="BL129" i="4" s="1"/>
  <c r="BL144" i="4" s="1"/>
  <c r="BL158" i="4" s="1"/>
  <c r="BL163" i="4" s="1"/>
  <c r="BL176" i="4" s="1"/>
  <c r="BM117" i="4"/>
  <c r="BM129" i="4" s="1"/>
  <c r="BM144" i="4" s="1"/>
  <c r="BM158" i="4" s="1"/>
  <c r="BM163" i="4" s="1"/>
  <c r="BM176" i="4" s="1"/>
  <c r="BN117" i="4"/>
  <c r="BN129" i="4" s="1"/>
  <c r="BN144" i="4" s="1"/>
  <c r="BN158" i="4" s="1"/>
  <c r="BN163" i="4" s="1"/>
  <c r="BN176" i="4" s="1"/>
  <c r="BO117" i="4"/>
  <c r="BO129" i="4" s="1"/>
  <c r="BO144" i="4" s="1"/>
  <c r="BO158" i="4" s="1"/>
  <c r="BO163" i="4" s="1"/>
  <c r="BO176" i="4" s="1"/>
  <c r="BP117" i="4"/>
  <c r="BP129" i="4" s="1"/>
  <c r="BP144" i="4" s="1"/>
  <c r="BP158" i="4" s="1"/>
  <c r="BP163" i="4" s="1"/>
  <c r="BP176" i="4" s="1"/>
  <c r="BQ117" i="4"/>
  <c r="BQ129" i="4" s="1"/>
  <c r="BQ144" i="4" s="1"/>
  <c r="BQ158" i="4" s="1"/>
  <c r="BQ163" i="4" s="1"/>
  <c r="BQ176" i="4" s="1"/>
  <c r="BR117" i="4"/>
  <c r="BR129" i="4" s="1"/>
  <c r="BR144" i="4" s="1"/>
  <c r="BR158" i="4" s="1"/>
  <c r="BR163" i="4" s="1"/>
  <c r="BR176" i="4" s="1"/>
  <c r="BS117" i="4"/>
  <c r="BS129" i="4" s="1"/>
  <c r="BS144" i="4" s="1"/>
  <c r="BS158" i="4" s="1"/>
  <c r="BS163" i="4" s="1"/>
  <c r="BS176" i="4" s="1"/>
  <c r="BT117" i="4"/>
  <c r="BT129" i="4" s="1"/>
  <c r="BT144" i="4" s="1"/>
  <c r="BT158" i="4" s="1"/>
  <c r="BT163" i="4" s="1"/>
  <c r="BT176" i="4" s="1"/>
  <c r="BU117" i="4"/>
  <c r="BU129" i="4" s="1"/>
  <c r="BU144" i="4" s="1"/>
  <c r="BU158" i="4" s="1"/>
  <c r="BU163" i="4" s="1"/>
  <c r="BU176" i="4" s="1"/>
  <c r="BV117" i="4"/>
  <c r="BV129" i="4" s="1"/>
  <c r="BV144" i="4" s="1"/>
  <c r="BV158" i="4" s="1"/>
  <c r="BV163" i="4" s="1"/>
  <c r="BV176" i="4" s="1"/>
  <c r="BW117" i="4"/>
  <c r="BW129" i="4" s="1"/>
  <c r="BW144" i="4" s="1"/>
  <c r="BW158" i="4" s="1"/>
  <c r="BW163" i="4" s="1"/>
  <c r="BW176" i="4" s="1"/>
  <c r="BX117" i="4"/>
  <c r="BX129" i="4" s="1"/>
  <c r="BX144" i="4" s="1"/>
  <c r="BX158" i="4" s="1"/>
  <c r="BX163" i="4" s="1"/>
  <c r="BX176" i="4" s="1"/>
  <c r="BY117" i="4"/>
  <c r="BZ117" i="4"/>
  <c r="BZ129" i="4" s="1"/>
  <c r="BZ144" i="4" s="1"/>
  <c r="BZ158" i="4" s="1"/>
  <c r="BZ163" i="4" s="1"/>
  <c r="BZ176" i="4" s="1"/>
  <c r="CA117" i="4"/>
  <c r="CA129" i="4" s="1"/>
  <c r="CA144" i="4" s="1"/>
  <c r="CA158" i="4" s="1"/>
  <c r="CA163" i="4" s="1"/>
  <c r="CA176" i="4" s="1"/>
  <c r="CB117" i="4"/>
  <c r="CB129" i="4" s="1"/>
  <c r="CB144" i="4" s="1"/>
  <c r="CB158" i="4" s="1"/>
  <c r="CB163" i="4" s="1"/>
  <c r="CB176" i="4" s="1"/>
  <c r="CC117" i="4"/>
  <c r="CC129" i="4" s="1"/>
  <c r="CC144" i="4" s="1"/>
  <c r="CC158" i="4" s="1"/>
  <c r="CC163" i="4" s="1"/>
  <c r="CC176" i="4" s="1"/>
  <c r="CD117" i="4"/>
  <c r="CD129" i="4" s="1"/>
  <c r="CD144" i="4" s="1"/>
  <c r="CD158" i="4" s="1"/>
  <c r="CD163" i="4" s="1"/>
  <c r="CD176" i="4" s="1"/>
  <c r="CE117" i="4"/>
  <c r="CE129" i="4" s="1"/>
  <c r="CE144" i="4" s="1"/>
  <c r="CE158" i="4" s="1"/>
  <c r="CE163" i="4" s="1"/>
  <c r="CE176" i="4" s="1"/>
  <c r="CF117" i="4"/>
  <c r="CF129" i="4" s="1"/>
  <c r="CF144" i="4" s="1"/>
  <c r="CF158" i="4" s="1"/>
  <c r="CF163" i="4" s="1"/>
  <c r="CF176" i="4" s="1"/>
  <c r="CG117" i="4"/>
  <c r="CG129" i="4" s="1"/>
  <c r="CG144" i="4" s="1"/>
  <c r="CG158" i="4" s="1"/>
  <c r="CG163" i="4" s="1"/>
  <c r="CG176" i="4" s="1"/>
  <c r="CH117" i="4"/>
  <c r="CH129" i="4" s="1"/>
  <c r="CH144" i="4" s="1"/>
  <c r="CH158" i="4" s="1"/>
  <c r="CH163" i="4" s="1"/>
  <c r="CH176" i="4" s="1"/>
  <c r="CI117" i="4"/>
  <c r="CI129" i="4" s="1"/>
  <c r="CI144" i="4" s="1"/>
  <c r="CI158" i="4" s="1"/>
  <c r="CI163" i="4" s="1"/>
  <c r="CI176" i="4" s="1"/>
  <c r="CJ117" i="4"/>
  <c r="CJ129" i="4" s="1"/>
  <c r="CJ144" i="4" s="1"/>
  <c r="CJ158" i="4" s="1"/>
  <c r="CJ163" i="4" s="1"/>
  <c r="CJ176" i="4" s="1"/>
  <c r="CK117" i="4"/>
  <c r="CK129" i="4" s="1"/>
  <c r="CK144" i="4" s="1"/>
  <c r="CK158" i="4" s="1"/>
  <c r="CK163" i="4" s="1"/>
  <c r="CK176" i="4" s="1"/>
  <c r="CL117" i="4"/>
  <c r="CL129" i="4" s="1"/>
  <c r="CL144" i="4" s="1"/>
  <c r="CL158" i="4" s="1"/>
  <c r="CL163" i="4" s="1"/>
  <c r="CL176" i="4" s="1"/>
  <c r="CM117" i="4"/>
  <c r="CM129" i="4" s="1"/>
  <c r="CM144" i="4" s="1"/>
  <c r="CM158" i="4" s="1"/>
  <c r="CM163" i="4" s="1"/>
  <c r="CM176" i="4" s="1"/>
  <c r="CN117" i="4"/>
  <c r="CN129" i="4" s="1"/>
  <c r="CN144" i="4" s="1"/>
  <c r="CN158" i="4" s="1"/>
  <c r="CN163" i="4" s="1"/>
  <c r="CN176" i="4" s="1"/>
  <c r="CO117" i="4"/>
  <c r="CO129" i="4" s="1"/>
  <c r="CO144" i="4" s="1"/>
  <c r="CO158" i="4" s="1"/>
  <c r="CO163" i="4" s="1"/>
  <c r="CO176" i="4" s="1"/>
  <c r="CP117" i="4"/>
  <c r="CP129" i="4" s="1"/>
  <c r="CP144" i="4" s="1"/>
  <c r="CP158" i="4" s="1"/>
  <c r="CP163" i="4" s="1"/>
  <c r="CP176" i="4" s="1"/>
  <c r="CQ117" i="4"/>
  <c r="CQ129" i="4" s="1"/>
  <c r="CQ144" i="4" s="1"/>
  <c r="CQ158" i="4" s="1"/>
  <c r="CQ163" i="4" s="1"/>
  <c r="CQ176" i="4" s="1"/>
  <c r="CT117" i="4"/>
  <c r="CT129" i="4" s="1"/>
  <c r="CT144" i="4" s="1"/>
  <c r="CT158" i="4" s="1"/>
  <c r="CT163" i="4" s="1"/>
  <c r="DE117" i="4"/>
  <c r="DE129" i="4" s="1"/>
  <c r="DE144" i="4" s="1"/>
  <c r="DE158" i="4" s="1"/>
  <c r="DE163" i="4" s="1"/>
  <c r="BY129" i="4"/>
  <c r="BY144" i="4" s="1"/>
  <c r="BY158" i="4" s="1"/>
  <c r="BY163" i="4" s="1"/>
  <c r="BY176" i="4" s="1"/>
  <c r="B152" i="4"/>
  <c r="C152" i="4" s="1"/>
  <c r="B166" i="4"/>
  <c r="B167" i="4"/>
  <c r="B168" i="4"/>
  <c r="B169" i="4"/>
  <c r="B170" i="4"/>
  <c r="B171" i="4"/>
  <c r="B172" i="4"/>
  <c r="B173" i="4"/>
  <c r="B174" i="4"/>
  <c r="B175" i="4"/>
  <c r="B176" i="4"/>
  <c r="CR176" i="4"/>
  <c r="B177" i="4"/>
  <c r="B178" i="4"/>
  <c r="B179" i="4"/>
  <c r="D20" i="2" s="1"/>
  <c r="L20" i="2" s="1"/>
  <c r="K20" i="2" s="1"/>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AX412" i="4"/>
  <c r="AZ412" i="4"/>
  <c r="BA412" i="4"/>
  <c r="BB412" i="4"/>
  <c r="BC412" i="4"/>
  <c r="BD412" i="4"/>
  <c r="BE412" i="4"/>
  <c r="BF412" i="4"/>
  <c r="BG412" i="4"/>
  <c r="BH412" i="4"/>
  <c r="BI412" i="4"/>
  <c r="BJ412" i="4"/>
  <c r="BK412" i="4"/>
  <c r="BL412" i="4"/>
  <c r="BM412" i="4"/>
  <c r="BN412" i="4"/>
  <c r="BO412" i="4"/>
  <c r="BP412" i="4"/>
  <c r="BQ412" i="4"/>
  <c r="BR412" i="4"/>
  <c r="BS412" i="4"/>
  <c r="BT412" i="4"/>
  <c r="BU412" i="4"/>
  <c r="BV412" i="4"/>
  <c r="BW412" i="4"/>
  <c r="BX412" i="4"/>
  <c r="BY412" i="4"/>
  <c r="BZ412" i="4"/>
  <c r="CA412" i="4"/>
  <c r="CB412" i="4"/>
  <c r="CC412" i="4"/>
  <c r="CD412" i="4"/>
  <c r="CE412" i="4"/>
  <c r="CF412" i="4"/>
  <c r="CG412" i="4"/>
  <c r="CH412" i="4"/>
  <c r="CI412" i="4"/>
  <c r="CJ412" i="4"/>
  <c r="CK412" i="4"/>
  <c r="CL412" i="4"/>
  <c r="CN412" i="4"/>
  <c r="CO412" i="4"/>
  <c r="CP412" i="4"/>
  <c r="CQ412" i="4"/>
  <c r="F419" i="4"/>
  <c r="G419" i="4"/>
  <c r="H419" i="4"/>
  <c r="I419" i="4"/>
  <c r="J419" i="4"/>
  <c r="K419" i="4"/>
  <c r="L419" i="4"/>
  <c r="M419" i="4"/>
  <c r="N419" i="4"/>
  <c r="O419" i="4"/>
  <c r="P419" i="4"/>
  <c r="Q419" i="4"/>
  <c r="R419" i="4"/>
  <c r="S419" i="4"/>
  <c r="T419" i="4"/>
  <c r="U419" i="4"/>
  <c r="V419" i="4"/>
  <c r="W419" i="4"/>
  <c r="X419" i="4"/>
  <c r="Y419" i="4"/>
  <c r="AA419" i="4"/>
  <c r="AB419" i="4"/>
  <c r="AC419" i="4"/>
  <c r="AD419" i="4"/>
  <c r="AF419" i="4"/>
  <c r="AG419" i="4"/>
  <c r="AH419" i="4"/>
  <c r="AJ419" i="4"/>
  <c r="AK419" i="4"/>
  <c r="AL419" i="4"/>
  <c r="AM419" i="4"/>
  <c r="AO419" i="4"/>
  <c r="AP419" i="4"/>
  <c r="AQ419" i="4"/>
  <c r="AS419" i="4"/>
  <c r="AT419" i="4"/>
  <c r="AU419" i="4"/>
  <c r="AV419" i="4"/>
  <c r="AW419" i="4"/>
  <c r="AX419" i="4"/>
  <c r="AY419" i="4"/>
  <c r="AZ419" i="4"/>
  <c r="BA419" i="4"/>
  <c r="BB419" i="4"/>
  <c r="BC419" i="4"/>
  <c r="BD419" i="4"/>
  <c r="BE419" i="4"/>
  <c r="BF419" i="4"/>
  <c r="BG419" i="4"/>
  <c r="BH419" i="4"/>
  <c r="BI419" i="4"/>
  <c r="BJ419" i="4"/>
  <c r="BK419" i="4"/>
  <c r="BL419" i="4"/>
  <c r="BM419" i="4"/>
  <c r="BN419" i="4"/>
  <c r="BO419" i="4"/>
  <c r="BP419" i="4"/>
  <c r="BQ419" i="4"/>
  <c r="BR419" i="4"/>
  <c r="BS419" i="4"/>
  <c r="BT419" i="4"/>
  <c r="BU419" i="4"/>
  <c r="BV419" i="4"/>
  <c r="BW419" i="4"/>
  <c r="BX419" i="4"/>
  <c r="BY419" i="4"/>
  <c r="BZ419" i="4"/>
  <c r="CA419" i="4"/>
  <c r="CB419" i="4"/>
  <c r="CC419" i="4"/>
  <c r="CD419" i="4"/>
  <c r="CE419" i="4"/>
  <c r="CF419" i="4"/>
  <c r="CG419" i="4"/>
  <c r="CH419" i="4"/>
  <c r="CI419" i="4"/>
  <c r="CJ419" i="4"/>
  <c r="CK419" i="4"/>
  <c r="CL419" i="4"/>
  <c r="CN419" i="4"/>
  <c r="CO419" i="4"/>
  <c r="CP419" i="4"/>
  <c r="CQ419" i="4"/>
  <c r="CS419" i="4"/>
  <c r="CT419" i="4"/>
  <c r="CU419" i="4"/>
  <c r="CV419" i="4"/>
  <c r="CX419" i="4"/>
  <c r="CY419" i="4"/>
  <c r="CZ419" i="4"/>
  <c r="DA419" i="4"/>
  <c r="DB419" i="4"/>
  <c r="DC419" i="4"/>
  <c r="DD419" i="4"/>
  <c r="F420" i="4"/>
  <c r="G420" i="4"/>
  <c r="H420" i="4"/>
  <c r="I420" i="4"/>
  <c r="J420" i="4"/>
  <c r="K420" i="4"/>
  <c r="L420" i="4"/>
  <c r="M420" i="4"/>
  <c r="N420" i="4"/>
  <c r="O420" i="4"/>
  <c r="P420" i="4"/>
  <c r="Q420" i="4"/>
  <c r="R420" i="4"/>
  <c r="S420" i="4"/>
  <c r="T420" i="4"/>
  <c r="U420" i="4"/>
  <c r="V420" i="4"/>
  <c r="W420" i="4"/>
  <c r="X420" i="4"/>
  <c r="Y420" i="4"/>
  <c r="AA420" i="4"/>
  <c r="AB420" i="4"/>
  <c r="AC420" i="4"/>
  <c r="AD420" i="4"/>
  <c r="AF420" i="4"/>
  <c r="AG420" i="4"/>
  <c r="AH420" i="4"/>
  <c r="AJ420" i="4"/>
  <c r="AK420" i="4"/>
  <c r="AL420" i="4"/>
  <c r="AM420" i="4"/>
  <c r="AO420" i="4"/>
  <c r="AP420" i="4"/>
  <c r="AQ420" i="4"/>
  <c r="AS420" i="4"/>
  <c r="AT420" i="4"/>
  <c r="AU420" i="4"/>
  <c r="AV420" i="4"/>
  <c r="AW420" i="4"/>
  <c r="AX420" i="4"/>
  <c r="AY420" i="4"/>
  <c r="AZ420" i="4"/>
  <c r="BA420" i="4"/>
  <c r="BB420" i="4"/>
  <c r="BC420" i="4"/>
  <c r="BD420" i="4"/>
  <c r="BE420" i="4"/>
  <c r="BF420" i="4"/>
  <c r="BG420" i="4"/>
  <c r="BH420" i="4"/>
  <c r="BI420" i="4"/>
  <c r="BJ420" i="4"/>
  <c r="BK420" i="4"/>
  <c r="BL420" i="4"/>
  <c r="BM420" i="4"/>
  <c r="BN420" i="4"/>
  <c r="BO420" i="4"/>
  <c r="BP420" i="4"/>
  <c r="BQ420" i="4"/>
  <c r="BR420" i="4"/>
  <c r="BS420" i="4"/>
  <c r="BT420" i="4"/>
  <c r="BU420" i="4"/>
  <c r="BV420" i="4"/>
  <c r="BW420" i="4"/>
  <c r="BX420" i="4"/>
  <c r="BY420" i="4"/>
  <c r="BZ420" i="4"/>
  <c r="CA420" i="4"/>
  <c r="CB420" i="4"/>
  <c r="CC420" i="4"/>
  <c r="CD420" i="4"/>
  <c r="CE420" i="4"/>
  <c r="CF420" i="4"/>
  <c r="CG420" i="4"/>
  <c r="CH420" i="4"/>
  <c r="CI420" i="4"/>
  <c r="CJ420" i="4"/>
  <c r="CK420" i="4"/>
  <c r="CL420" i="4"/>
  <c r="CN420" i="4"/>
  <c r="CO420" i="4"/>
  <c r="CP420" i="4"/>
  <c r="CQ420" i="4"/>
  <c r="CS420" i="4"/>
  <c r="CT420" i="4"/>
  <c r="CU420" i="4"/>
  <c r="CV420" i="4"/>
  <c r="CX420" i="4"/>
  <c r="CY420" i="4"/>
  <c r="CZ420" i="4"/>
  <c r="DA420" i="4"/>
  <c r="DB420" i="4"/>
  <c r="DC420" i="4"/>
  <c r="DD420" i="4"/>
  <c r="F421" i="4"/>
  <c r="G421" i="4"/>
  <c r="H421" i="4"/>
  <c r="I421" i="4"/>
  <c r="J421" i="4"/>
  <c r="K421" i="4"/>
  <c r="L421" i="4"/>
  <c r="M421" i="4"/>
  <c r="N421" i="4"/>
  <c r="O421" i="4"/>
  <c r="P421" i="4"/>
  <c r="Q421" i="4"/>
  <c r="R421" i="4"/>
  <c r="S421" i="4"/>
  <c r="T421" i="4"/>
  <c r="U421" i="4"/>
  <c r="V421" i="4"/>
  <c r="W421" i="4"/>
  <c r="X421" i="4"/>
  <c r="Y421" i="4"/>
  <c r="AA421" i="4"/>
  <c r="AB421" i="4"/>
  <c r="AC421" i="4"/>
  <c r="AD421" i="4"/>
  <c r="AF421" i="4"/>
  <c r="AG421" i="4"/>
  <c r="AH421" i="4"/>
  <c r="AJ421" i="4"/>
  <c r="AK421" i="4"/>
  <c r="AL421" i="4"/>
  <c r="AM421" i="4"/>
  <c r="AO421" i="4"/>
  <c r="AP421" i="4"/>
  <c r="AQ421" i="4"/>
  <c r="AS421" i="4"/>
  <c r="AT421" i="4"/>
  <c r="AU421" i="4"/>
  <c r="AV421" i="4"/>
  <c r="AW421" i="4"/>
  <c r="AX421" i="4"/>
  <c r="AY421" i="4"/>
  <c r="AZ421" i="4"/>
  <c r="BA421" i="4"/>
  <c r="BB421" i="4"/>
  <c r="BC421" i="4"/>
  <c r="BD421" i="4"/>
  <c r="BE421" i="4"/>
  <c r="BF421" i="4"/>
  <c r="BG421" i="4"/>
  <c r="BH421" i="4"/>
  <c r="BI421" i="4"/>
  <c r="BJ421" i="4"/>
  <c r="BK421" i="4"/>
  <c r="BL421" i="4"/>
  <c r="BM421" i="4"/>
  <c r="BN421" i="4"/>
  <c r="BO421" i="4"/>
  <c r="BP421" i="4"/>
  <c r="BQ421" i="4"/>
  <c r="BR421" i="4"/>
  <c r="BS421" i="4"/>
  <c r="BT421" i="4"/>
  <c r="BU421" i="4"/>
  <c r="BV421" i="4"/>
  <c r="BW421" i="4"/>
  <c r="BX421" i="4"/>
  <c r="BY421" i="4"/>
  <c r="BZ421" i="4"/>
  <c r="CA421" i="4"/>
  <c r="CB421" i="4"/>
  <c r="CC421" i="4"/>
  <c r="CD421" i="4"/>
  <c r="CE421" i="4"/>
  <c r="CF421" i="4"/>
  <c r="CG421" i="4"/>
  <c r="CH421" i="4"/>
  <c r="CI421" i="4"/>
  <c r="CJ421" i="4"/>
  <c r="CK421" i="4"/>
  <c r="CL421" i="4"/>
  <c r="CN421" i="4"/>
  <c r="CO421" i="4"/>
  <c r="CP421" i="4"/>
  <c r="CQ421" i="4"/>
  <c r="CS421" i="4"/>
  <c r="CT421" i="4"/>
  <c r="CU421" i="4"/>
  <c r="CV421" i="4"/>
  <c r="CX421" i="4"/>
  <c r="CY421" i="4"/>
  <c r="CZ421" i="4"/>
  <c r="DA421" i="4"/>
  <c r="DB421" i="4"/>
  <c r="DC421" i="4"/>
  <c r="DD421" i="4"/>
  <c r="AX440" i="4"/>
  <c r="AY440" i="4"/>
  <c r="AZ440" i="4"/>
  <c r="BA440" i="4"/>
  <c r="BB440" i="4"/>
  <c r="BC440" i="4"/>
  <c r="BD440" i="4"/>
  <c r="BE440" i="4"/>
  <c r="BF440" i="4"/>
  <c r="BG440" i="4"/>
  <c r="BH440" i="4"/>
  <c r="BI440" i="4"/>
  <c r="BJ440" i="4"/>
  <c r="BK440" i="4"/>
  <c r="BL440" i="4"/>
  <c r="BM440" i="4"/>
  <c r="BN440" i="4"/>
  <c r="BO440" i="4"/>
  <c r="BP440" i="4"/>
  <c r="BQ440" i="4"/>
  <c r="BR440" i="4"/>
  <c r="BS440" i="4"/>
  <c r="BT440" i="4"/>
  <c r="BU440" i="4"/>
  <c r="BV440" i="4"/>
  <c r="BW440" i="4"/>
  <c r="BX440" i="4"/>
  <c r="BY440" i="4"/>
  <c r="BZ440" i="4"/>
  <c r="CA440" i="4"/>
  <c r="CB440" i="4"/>
  <c r="CC440" i="4"/>
  <c r="CD440" i="4"/>
  <c r="CE440" i="4"/>
  <c r="CF440" i="4"/>
  <c r="CG440" i="4"/>
  <c r="CH440" i="4"/>
  <c r="CI440" i="4"/>
  <c r="CJ440" i="4"/>
  <c r="CK440" i="4"/>
  <c r="CL440" i="4"/>
  <c r="CN440" i="4"/>
  <c r="CO440" i="4"/>
  <c r="CP440" i="4"/>
  <c r="CQ440" i="4"/>
  <c r="DE441" i="4"/>
  <c r="CS442" i="4"/>
  <c r="CT442" i="4"/>
  <c r="CU442" i="4"/>
  <c r="CV442" i="4"/>
  <c r="DE442" i="4"/>
  <c r="DE452" i="4"/>
  <c r="F455" i="4"/>
  <c r="F459" i="4" s="1"/>
  <c r="G455" i="4"/>
  <c r="H455" i="4"/>
  <c r="I455" i="4"/>
  <c r="J455" i="4"/>
  <c r="K455" i="4"/>
  <c r="L455" i="4"/>
  <c r="M455" i="4"/>
  <c r="N455" i="4"/>
  <c r="N461" i="4" s="1"/>
  <c r="O455" i="4"/>
  <c r="P455" i="4"/>
  <c r="Q455" i="4"/>
  <c r="R455" i="4"/>
  <c r="R458" i="4" s="1"/>
  <c r="S455" i="4"/>
  <c r="T455" i="4"/>
  <c r="U455" i="4"/>
  <c r="V455" i="4"/>
  <c r="W455" i="4"/>
  <c r="X455" i="4"/>
  <c r="Y455" i="4"/>
  <c r="AA455" i="4"/>
  <c r="AB455" i="4"/>
  <c r="AC455" i="4"/>
  <c r="AD455" i="4"/>
  <c r="AD460" i="4" s="1"/>
  <c r="AF455" i="4"/>
  <c r="AF458" i="4" s="1"/>
  <c r="AG455" i="4"/>
  <c r="AH455" i="4"/>
  <c r="AJ455" i="4"/>
  <c r="AK455" i="4"/>
  <c r="AK460" i="4" s="1"/>
  <c r="AL455" i="4"/>
  <c r="AM455" i="4"/>
  <c r="AO455" i="4"/>
  <c r="AP455" i="4"/>
  <c r="AQ455" i="4"/>
  <c r="AS455" i="4"/>
  <c r="AT455" i="4"/>
  <c r="AU455" i="4"/>
  <c r="AU459" i="4" s="1"/>
  <c r="AV455" i="4"/>
  <c r="AW455" i="4"/>
  <c r="AX455" i="4"/>
  <c r="AY455" i="4"/>
  <c r="AY461" i="4" s="1"/>
  <c r="AZ455" i="4"/>
  <c r="BA455" i="4"/>
  <c r="BB455" i="4"/>
  <c r="BC455" i="4"/>
  <c r="BC461" i="4" s="1"/>
  <c r="BD455" i="4"/>
  <c r="BE455" i="4"/>
  <c r="BE459" i="4" s="1"/>
  <c r="BF455" i="4"/>
  <c r="BG455" i="4"/>
  <c r="BG459" i="4" s="1"/>
  <c r="BH455" i="4"/>
  <c r="BI455" i="4"/>
  <c r="BJ455" i="4"/>
  <c r="BK455" i="4"/>
  <c r="BK460" i="4" s="1"/>
  <c r="BL455" i="4"/>
  <c r="BM455" i="4"/>
  <c r="BN455" i="4"/>
  <c r="BO455" i="4"/>
  <c r="BO461" i="4" s="1"/>
  <c r="BP455" i="4"/>
  <c r="BP458" i="4" s="1"/>
  <c r="BQ455" i="4"/>
  <c r="BQ458" i="4" s="1"/>
  <c r="BR455" i="4"/>
  <c r="BS455" i="4"/>
  <c r="BS458" i="4" s="1"/>
  <c r="BT455" i="4"/>
  <c r="BU455" i="4"/>
  <c r="BV455" i="4"/>
  <c r="BW455" i="4"/>
  <c r="BW460" i="4" s="1"/>
  <c r="BX455" i="4"/>
  <c r="BY455" i="4"/>
  <c r="BY460" i="4" s="1"/>
  <c r="BZ455" i="4"/>
  <c r="CA455" i="4"/>
  <c r="CB455" i="4"/>
  <c r="CB462" i="4" s="1"/>
  <c r="CC455" i="4"/>
  <c r="CD455" i="4"/>
  <c r="CE455" i="4"/>
  <c r="CE459" i="4" s="1"/>
  <c r="CF455" i="4"/>
  <c r="CG455" i="4"/>
  <c r="CH455" i="4"/>
  <c r="CI455" i="4"/>
  <c r="CI461" i="4" s="1"/>
  <c r="CJ455" i="4"/>
  <c r="CK455" i="4"/>
  <c r="CK459" i="4" s="1"/>
  <c r="CL455" i="4"/>
  <c r="CN455" i="4"/>
  <c r="CO455" i="4"/>
  <c r="CO462" i="4" s="1"/>
  <c r="CP455" i="4"/>
  <c r="CQ455" i="4"/>
  <c r="CS455" i="4"/>
  <c r="CS459" i="4" s="1"/>
  <c r="CT455" i="4"/>
  <c r="CU455" i="4"/>
  <c r="CV455" i="4"/>
  <c r="CX455" i="4"/>
  <c r="CY455" i="4"/>
  <c r="CZ455" i="4"/>
  <c r="DA455" i="4"/>
  <c r="DB455" i="4"/>
  <c r="DC455" i="4"/>
  <c r="DD455" i="4"/>
  <c r="F456" i="4"/>
  <c r="G456" i="4"/>
  <c r="H456" i="4"/>
  <c r="H461" i="4" s="1"/>
  <c r="I456" i="4"/>
  <c r="J456" i="4"/>
  <c r="K456" i="4"/>
  <c r="L456" i="4"/>
  <c r="L459" i="4" s="1"/>
  <c r="M456" i="4"/>
  <c r="N456" i="4"/>
  <c r="O456" i="4"/>
  <c r="O461" i="4" s="1"/>
  <c r="P456" i="4"/>
  <c r="Q456" i="4"/>
  <c r="R456" i="4"/>
  <c r="S456" i="4"/>
  <c r="T456" i="4"/>
  <c r="T458" i="4" s="1"/>
  <c r="U456" i="4"/>
  <c r="U459" i="4" s="1"/>
  <c r="V456" i="4"/>
  <c r="W456" i="4"/>
  <c r="X456" i="4"/>
  <c r="X458" i="4" s="1"/>
  <c r="Y456" i="4"/>
  <c r="AA456" i="4"/>
  <c r="AB456" i="4"/>
  <c r="AB462" i="4" s="1"/>
  <c r="AC456" i="4"/>
  <c r="AD456" i="4"/>
  <c r="AF456" i="4"/>
  <c r="AG456" i="4"/>
  <c r="AH456" i="4"/>
  <c r="AH461" i="4" s="1"/>
  <c r="AJ456" i="4"/>
  <c r="AJ459" i="4" s="1"/>
  <c r="AK456" i="4"/>
  <c r="AL456" i="4"/>
  <c r="AM456" i="4"/>
  <c r="AM459" i="4" s="1"/>
  <c r="AO456" i="4"/>
  <c r="AP456" i="4"/>
  <c r="AQ456" i="4"/>
  <c r="AQ461" i="4" s="1"/>
  <c r="AS456" i="4"/>
  <c r="AT456" i="4"/>
  <c r="AT460" i="4" s="1"/>
  <c r="AU456" i="4"/>
  <c r="AV456" i="4"/>
  <c r="AW456" i="4"/>
  <c r="AW458" i="4" s="1"/>
  <c r="AX456" i="4"/>
  <c r="AX460" i="4" s="1"/>
  <c r="AY456" i="4"/>
  <c r="AZ456" i="4"/>
  <c r="BA456" i="4"/>
  <c r="BA462" i="4" s="1"/>
  <c r="BB456" i="4"/>
  <c r="BC456" i="4"/>
  <c r="BD456" i="4"/>
  <c r="BD462" i="4" s="1"/>
  <c r="BE456" i="4"/>
  <c r="BF456" i="4"/>
  <c r="BG456" i="4"/>
  <c r="BH456" i="4"/>
  <c r="BI456" i="4"/>
  <c r="BI460" i="4" s="1"/>
  <c r="BJ456" i="4"/>
  <c r="BK456" i="4"/>
  <c r="BL456" i="4"/>
  <c r="BM456" i="4"/>
  <c r="BN456" i="4"/>
  <c r="BO456" i="4"/>
  <c r="BP456" i="4"/>
  <c r="BP459" i="4" s="1"/>
  <c r="BQ456" i="4"/>
  <c r="BR456" i="4"/>
  <c r="BS456" i="4"/>
  <c r="BT456" i="4"/>
  <c r="BU456" i="4"/>
  <c r="BV456" i="4"/>
  <c r="BV459" i="4" s="1"/>
  <c r="BW456" i="4"/>
  <c r="BX456" i="4"/>
  <c r="BY456" i="4"/>
  <c r="BY461" i="4" s="1"/>
  <c r="BZ456" i="4"/>
  <c r="BZ460" i="4" s="1"/>
  <c r="CA456" i="4"/>
  <c r="CB456" i="4"/>
  <c r="CB460" i="4" s="1"/>
  <c r="CC456" i="4"/>
  <c r="CD456" i="4"/>
  <c r="CE456" i="4"/>
  <c r="CF456" i="4"/>
  <c r="CG456" i="4"/>
  <c r="CG462" i="4" s="1"/>
  <c r="CH456" i="4"/>
  <c r="CI456" i="4"/>
  <c r="CJ456" i="4"/>
  <c r="CK456" i="4"/>
  <c r="CL456" i="4"/>
  <c r="CN456" i="4"/>
  <c r="CO456" i="4"/>
  <c r="CO458" i="4" s="1"/>
  <c r="CP456" i="4"/>
  <c r="CQ456" i="4"/>
  <c r="CS456" i="4"/>
  <c r="CS461" i="4"/>
  <c r="CT456" i="4"/>
  <c r="CU456" i="4"/>
  <c r="CU458" i="4" s="1"/>
  <c r="CV456" i="4"/>
  <c r="CX456" i="4"/>
  <c r="CY456" i="4"/>
  <c r="CY461" i="4" s="1"/>
  <c r="CZ456" i="4"/>
  <c r="CZ458" i="4" s="1"/>
  <c r="DA456" i="4"/>
  <c r="DB456" i="4"/>
  <c r="DB460" i="4" s="1"/>
  <c r="DC456" i="4"/>
  <c r="DC461" i="4" s="1"/>
  <c r="DD456" i="4"/>
  <c r="DD460" i="4" s="1"/>
  <c r="L458" i="4"/>
  <c r="AS458" i="4"/>
  <c r="K459" i="4"/>
  <c r="P459" i="4"/>
  <c r="AS459" i="4"/>
  <c r="CB459" i="4"/>
  <c r="O460" i="4"/>
  <c r="CD460" i="4"/>
  <c r="DC460" i="4"/>
  <c r="AC461" i="4"/>
  <c r="AF461" i="4"/>
  <c r="BX461" i="4"/>
  <c r="T462" i="4"/>
  <c r="AL462" i="4"/>
  <c r="BP462" i="4"/>
  <c r="CP462" i="4"/>
  <c r="DC462" i="4"/>
  <c r="DD462" i="4"/>
  <c r="F3" i="3"/>
  <c r="O3" i="3"/>
  <c r="F4" i="3"/>
  <c r="O4" i="3"/>
  <c r="F5" i="3"/>
  <c r="O5" i="3"/>
  <c r="F6" i="3"/>
  <c r="O6" i="3"/>
  <c r="F7" i="3"/>
  <c r="O7" i="3"/>
  <c r="F8" i="3"/>
  <c r="O8" i="3"/>
  <c r="F9" i="3"/>
  <c r="O9" i="3"/>
  <c r="F10" i="3"/>
  <c r="O10" i="3"/>
  <c r="F11" i="3"/>
  <c r="O11" i="3"/>
  <c r="F12" i="3"/>
  <c r="O12" i="3"/>
  <c r="F13" i="3"/>
  <c r="O13" i="3"/>
  <c r="F14" i="3"/>
  <c r="O14" i="3"/>
  <c r="F15" i="3"/>
  <c r="O15" i="3"/>
  <c r="F16" i="3"/>
  <c r="O16" i="3"/>
  <c r="F17" i="3"/>
  <c r="O17" i="3"/>
  <c r="F18" i="3"/>
  <c r="O18" i="3"/>
  <c r="F19" i="3"/>
  <c r="O19" i="3"/>
  <c r="F20" i="3"/>
  <c r="O20" i="3"/>
  <c r="F21" i="3"/>
  <c r="O21" i="3"/>
  <c r="F22" i="3"/>
  <c r="O22" i="3"/>
  <c r="F23" i="3"/>
  <c r="O23" i="3"/>
  <c r="F24" i="3"/>
  <c r="O24" i="3"/>
  <c r="F25" i="3"/>
  <c r="O25" i="3"/>
  <c r="F26" i="3"/>
  <c r="O26" i="3"/>
  <c r="F27" i="3"/>
  <c r="O27" i="3"/>
  <c r="F28" i="3"/>
  <c r="O28" i="3"/>
  <c r="F29" i="3"/>
  <c r="O29" i="3"/>
  <c r="F30" i="3"/>
  <c r="O30" i="3"/>
  <c r="F31" i="3"/>
  <c r="O31" i="3"/>
  <c r="F32" i="3"/>
  <c r="O32" i="3"/>
  <c r="F33" i="3"/>
  <c r="O33" i="3"/>
  <c r="F34" i="3"/>
  <c r="O34" i="3"/>
  <c r="F35" i="3"/>
  <c r="O35" i="3"/>
  <c r="F36" i="3"/>
  <c r="O36" i="3"/>
  <c r="F37" i="3"/>
  <c r="O37" i="3"/>
  <c r="F38" i="3"/>
  <c r="O38" i="3"/>
  <c r="F39" i="3"/>
  <c r="O39" i="3"/>
  <c r="F40" i="3"/>
  <c r="O40" i="3"/>
  <c r="F41" i="3"/>
  <c r="O41" i="3"/>
  <c r="F42" i="3"/>
  <c r="O42" i="3"/>
  <c r="F43" i="3"/>
  <c r="O43" i="3"/>
  <c r="F44" i="3"/>
  <c r="O44" i="3"/>
  <c r="F45" i="3"/>
  <c r="O45" i="3"/>
  <c r="F46" i="3"/>
  <c r="O46" i="3"/>
  <c r="F47" i="3"/>
  <c r="O47" i="3"/>
  <c r="F48" i="3"/>
  <c r="O48" i="3"/>
  <c r="F49" i="3"/>
  <c r="O49" i="3"/>
  <c r="F50" i="3"/>
  <c r="O50" i="3"/>
  <c r="F51" i="3"/>
  <c r="O51" i="3"/>
  <c r="F52" i="3"/>
  <c r="O52" i="3"/>
  <c r="F53" i="3"/>
  <c r="O53" i="3"/>
  <c r="F54" i="3"/>
  <c r="O54" i="3"/>
  <c r="O55" i="3"/>
  <c r="F56" i="3"/>
  <c r="O56" i="3"/>
  <c r="F57" i="3"/>
  <c r="O57" i="3"/>
  <c r="F58" i="3"/>
  <c r="O58" i="3"/>
  <c r="F59" i="3"/>
  <c r="O59" i="3"/>
  <c r="F60" i="3"/>
  <c r="O60" i="3"/>
  <c r="F61" i="3"/>
  <c r="O61" i="3"/>
  <c r="F62" i="3"/>
  <c r="O62" i="3"/>
  <c r="F63" i="3"/>
  <c r="O63" i="3"/>
  <c r="F64" i="3"/>
  <c r="O64" i="3"/>
  <c r="F65" i="3"/>
  <c r="O65" i="3"/>
  <c r="F66" i="3"/>
  <c r="O66" i="3"/>
  <c r="F68" i="3"/>
  <c r="O68" i="3"/>
  <c r="F69" i="3"/>
  <c r="O69" i="3"/>
  <c r="F71" i="3"/>
  <c r="O71" i="3"/>
  <c r="F72" i="3"/>
  <c r="O72" i="3"/>
  <c r="F73" i="3"/>
  <c r="O73" i="3"/>
  <c r="F74" i="3"/>
  <c r="O74" i="3"/>
  <c r="F75" i="3"/>
  <c r="O75" i="3"/>
  <c r="F76" i="3"/>
  <c r="O76" i="3"/>
  <c r="F77" i="3"/>
  <c r="O77" i="3"/>
  <c r="F78" i="3"/>
  <c r="O78" i="3"/>
  <c r="F79" i="3"/>
  <c r="O79" i="3"/>
  <c r="O81" i="3"/>
  <c r="F83" i="3"/>
  <c r="O83" i="3"/>
  <c r="F84" i="3"/>
  <c r="O84" i="3"/>
  <c r="F85" i="3"/>
  <c r="O85" i="3"/>
  <c r="F86" i="3"/>
  <c r="O86" i="3"/>
  <c r="F87" i="3"/>
  <c r="O87" i="3"/>
  <c r="F88" i="3"/>
  <c r="O88" i="3"/>
  <c r="F89" i="3"/>
  <c r="O89" i="3"/>
  <c r="F90" i="3"/>
  <c r="O90" i="3"/>
  <c r="F91" i="3"/>
  <c r="O91" i="3"/>
  <c r="F92" i="3"/>
  <c r="O92" i="3"/>
  <c r="F93" i="3"/>
  <c r="F106" i="3"/>
  <c r="O106" i="3"/>
  <c r="F107" i="3"/>
  <c r="O107" i="3"/>
  <c r="F108" i="3"/>
  <c r="O108" i="3"/>
  <c r="F110" i="3"/>
  <c r="O110" i="3"/>
  <c r="F111" i="3"/>
  <c r="O111" i="3"/>
  <c r="F112" i="3"/>
  <c r="O112" i="3"/>
  <c r="F113" i="3"/>
  <c r="O113" i="3"/>
  <c r="F114" i="3"/>
  <c r="O114" i="3"/>
  <c r="F115" i="3"/>
  <c r="O115" i="3"/>
  <c r="F116" i="3"/>
  <c r="O116" i="3"/>
  <c r="F117" i="3"/>
  <c r="O117" i="3"/>
  <c r="F118" i="3"/>
  <c r="O118" i="3"/>
  <c r="F119" i="3"/>
  <c r="O119" i="3"/>
  <c r="F120" i="3"/>
  <c r="O120" i="3"/>
  <c r="F121" i="3"/>
  <c r="O121" i="3"/>
  <c r="F122" i="3"/>
  <c r="O122" i="3"/>
  <c r="F123" i="3"/>
  <c r="O123" i="3"/>
  <c r="F124" i="3"/>
  <c r="O124" i="3"/>
  <c r="F125" i="3"/>
  <c r="O125" i="3"/>
  <c r="F126" i="3"/>
  <c r="O126" i="3"/>
  <c r="F127" i="3"/>
  <c r="O127" i="3"/>
  <c r="F128" i="3"/>
  <c r="O128" i="3"/>
  <c r="F129" i="3"/>
  <c r="O129" i="3"/>
  <c r="F130" i="3"/>
  <c r="O130" i="3"/>
  <c r="F131" i="3"/>
  <c r="O131" i="3"/>
  <c r="F132" i="3"/>
  <c r="O132" i="3"/>
  <c r="F133" i="3"/>
  <c r="O133" i="3"/>
  <c r="F134" i="3"/>
  <c r="O134" i="3"/>
  <c r="F136" i="3"/>
  <c r="O136" i="3"/>
  <c r="F137" i="3"/>
  <c r="O137" i="3"/>
  <c r="F138" i="3"/>
  <c r="O138" i="3"/>
  <c r="F139" i="3"/>
  <c r="O139" i="3"/>
  <c r="F140" i="3"/>
  <c r="O140" i="3"/>
  <c r="F141" i="3"/>
  <c r="O141" i="3"/>
  <c r="F142" i="3"/>
  <c r="O142" i="3"/>
  <c r="F143" i="3"/>
  <c r="O143" i="3"/>
  <c r="F144" i="3"/>
  <c r="O144" i="3"/>
  <c r="F145" i="3"/>
  <c r="F146" i="3"/>
  <c r="F147" i="3"/>
  <c r="F149" i="3"/>
  <c r="F150" i="3"/>
  <c r="F151" i="3"/>
  <c r="F152" i="3"/>
  <c r="F153" i="3"/>
  <c r="F154"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9" i="3"/>
  <c r="F200" i="3"/>
  <c r="F201" i="3"/>
  <c r="F204" i="3"/>
  <c r="F206" i="3"/>
  <c r="O206" i="3"/>
  <c r="F207" i="3"/>
  <c r="O207" i="3"/>
  <c r="F208" i="3"/>
  <c r="O208" i="3"/>
  <c r="O209" i="3"/>
  <c r="F210" i="3"/>
  <c r="O210" i="3"/>
  <c r="F211" i="3"/>
  <c r="O211" i="3"/>
  <c r="F212" i="3"/>
  <c r="O212" i="3"/>
  <c r="F213" i="3"/>
  <c r="O213" i="3"/>
  <c r="F214" i="3"/>
  <c r="O214" i="3"/>
  <c r="F215" i="3"/>
  <c r="O215" i="3"/>
  <c r="F216" i="3"/>
  <c r="O216" i="3"/>
  <c r="O217" i="3"/>
  <c r="O218" i="3"/>
  <c r="F219" i="3"/>
  <c r="O219" i="3"/>
  <c r="F220" i="3"/>
  <c r="O220" i="3"/>
  <c r="F221" i="3"/>
  <c r="O221" i="3"/>
  <c r="O222" i="3"/>
  <c r="F223" i="3"/>
  <c r="O223" i="3"/>
  <c r="F224" i="3"/>
  <c r="O224" i="3"/>
  <c r="F225" i="3"/>
  <c r="O225" i="3"/>
  <c r="F226" i="3"/>
  <c r="O226" i="3"/>
  <c r="F227" i="3"/>
  <c r="O227" i="3"/>
  <c r="F228" i="3"/>
  <c r="O228" i="3"/>
  <c r="F229" i="3"/>
  <c r="O229" i="3"/>
  <c r="F230" i="3"/>
  <c r="O230" i="3"/>
  <c r="F231" i="3"/>
  <c r="O231" i="3"/>
  <c r="F232" i="3"/>
  <c r="O232" i="3"/>
  <c r="F233" i="3"/>
  <c r="O233" i="3"/>
  <c r="F234" i="3"/>
  <c r="O234" i="3"/>
  <c r="F235" i="3"/>
  <c r="O235" i="3"/>
  <c r="F236" i="3"/>
  <c r="O236" i="3"/>
  <c r="F237" i="3"/>
  <c r="O237" i="3"/>
  <c r="F238" i="3"/>
  <c r="O238" i="3"/>
  <c r="F239" i="3"/>
  <c r="O239" i="3"/>
  <c r="F240" i="3"/>
  <c r="O240" i="3"/>
  <c r="F241" i="3"/>
  <c r="O241" i="3"/>
  <c r="F242" i="3"/>
  <c r="O242" i="3"/>
  <c r="F243" i="3"/>
  <c r="O243" i="3"/>
  <c r="F244" i="3"/>
  <c r="O244" i="3"/>
  <c r="O245" i="3"/>
  <c r="F246" i="3"/>
  <c r="O246" i="3"/>
  <c r="F247" i="3"/>
  <c r="O247" i="3"/>
  <c r="F248" i="3"/>
  <c r="O248" i="3"/>
  <c r="F249" i="3"/>
  <c r="O249" i="3"/>
  <c r="O250" i="3"/>
  <c r="F251" i="3"/>
  <c r="O251" i="3"/>
  <c r="F252" i="3"/>
  <c r="O252" i="3"/>
  <c r="F253" i="3"/>
  <c r="O253" i="3"/>
  <c r="F254" i="3"/>
  <c r="O254" i="3"/>
  <c r="F255" i="3"/>
  <c r="O255" i="3"/>
  <c r="F256" i="3"/>
  <c r="O256" i="3"/>
  <c r="F257" i="3"/>
  <c r="O257" i="3"/>
  <c r="F258" i="3"/>
  <c r="O258" i="3"/>
  <c r="F259" i="3"/>
  <c r="O259" i="3"/>
  <c r="F260" i="3"/>
  <c r="O260" i="3"/>
  <c r="F261" i="3"/>
  <c r="O261" i="3"/>
  <c r="F262" i="3"/>
  <c r="O262" i="3"/>
  <c r="F263" i="3"/>
  <c r="O263" i="3"/>
  <c r="F264" i="3"/>
  <c r="O264" i="3"/>
  <c r="F265" i="3"/>
  <c r="O265" i="3"/>
  <c r="F266" i="3"/>
  <c r="O266" i="3"/>
  <c r="F267" i="3"/>
  <c r="O267" i="3"/>
  <c r="F268" i="3"/>
  <c r="O268" i="3"/>
  <c r="F269" i="3"/>
  <c r="O269" i="3"/>
  <c r="F270" i="3"/>
  <c r="O270" i="3"/>
  <c r="F271" i="3"/>
  <c r="O271" i="3"/>
  <c r="F272" i="3"/>
  <c r="O272" i="3"/>
  <c r="F273" i="3"/>
  <c r="O273" i="3"/>
  <c r="F274" i="3"/>
  <c r="O274" i="3"/>
  <c r="F275" i="3"/>
  <c r="O275" i="3"/>
  <c r="F276" i="3"/>
  <c r="O276" i="3"/>
  <c r="F277" i="3"/>
  <c r="O277" i="3"/>
  <c r="F278" i="3"/>
  <c r="O278" i="3"/>
  <c r="F279" i="3"/>
  <c r="O279" i="3"/>
  <c r="O281" i="3"/>
  <c r="F282" i="3"/>
  <c r="O282" i="3"/>
  <c r="F283" i="3"/>
  <c r="O283" i="3"/>
  <c r="F284" i="3"/>
  <c r="O284" i="3"/>
  <c r="F285" i="3"/>
  <c r="O285" i="3"/>
  <c r="F286" i="3"/>
  <c r="O286" i="3"/>
  <c r="F287" i="3"/>
  <c r="O287" i="3"/>
  <c r="F288" i="3"/>
  <c r="O288" i="3"/>
  <c r="F289" i="3"/>
  <c r="O289" i="3"/>
  <c r="F290" i="3"/>
  <c r="O290" i="3"/>
  <c r="F291" i="3"/>
  <c r="O291" i="3"/>
  <c r="F292" i="3"/>
  <c r="O292" i="3"/>
  <c r="O293" i="3"/>
  <c r="F294" i="3"/>
  <c r="O294" i="3"/>
  <c r="F295" i="3"/>
  <c r="O295" i="3"/>
  <c r="F296" i="3"/>
  <c r="O296" i="3"/>
  <c r="F297" i="3"/>
  <c r="O297" i="3"/>
  <c r="F298" i="3"/>
  <c r="O298" i="3"/>
  <c r="F299" i="3"/>
  <c r="O299" i="3"/>
  <c r="F300" i="3"/>
  <c r="O300" i="3"/>
  <c r="F301" i="3"/>
  <c r="O301" i="3"/>
  <c r="F302" i="3"/>
  <c r="O302" i="3"/>
  <c r="F303" i="3"/>
  <c r="O303" i="3"/>
  <c r="F304" i="3"/>
  <c r="O304" i="3"/>
  <c r="F305" i="3"/>
  <c r="O305" i="3"/>
  <c r="F306" i="3"/>
  <c r="O306" i="3"/>
  <c r="F307" i="3"/>
  <c r="O307" i="3"/>
  <c r="F308" i="3"/>
  <c r="O308" i="3"/>
  <c r="F309" i="3"/>
  <c r="O309" i="3"/>
  <c r="F310" i="3"/>
  <c r="O310" i="3"/>
  <c r="F311" i="3"/>
  <c r="O311" i="3"/>
  <c r="F312" i="3"/>
  <c r="O312" i="3"/>
  <c r="F313" i="3"/>
  <c r="O313" i="3"/>
  <c r="F314" i="3"/>
  <c r="O314" i="3"/>
  <c r="F315" i="3"/>
  <c r="O315" i="3"/>
  <c r="F316" i="3"/>
  <c r="O316" i="3"/>
  <c r="F317" i="3"/>
  <c r="O317" i="3"/>
  <c r="F318" i="3"/>
  <c r="O318" i="3"/>
  <c r="F319" i="3"/>
  <c r="O319" i="3"/>
  <c r="F320" i="3"/>
  <c r="O320" i="3"/>
  <c r="F321" i="3"/>
  <c r="O321" i="3"/>
  <c r="F322" i="3"/>
  <c r="O322" i="3"/>
  <c r="F323" i="3"/>
  <c r="O323" i="3"/>
  <c r="F324" i="3"/>
  <c r="O324" i="3"/>
  <c r="F325" i="3"/>
  <c r="O325" i="3"/>
  <c r="F326" i="3"/>
  <c r="O326" i="3"/>
  <c r="F327" i="3"/>
  <c r="O327" i="3"/>
  <c r="F328" i="3"/>
  <c r="O328" i="3"/>
  <c r="F329" i="3"/>
  <c r="O329" i="3"/>
  <c r="F330" i="3"/>
  <c r="O330" i="3"/>
  <c r="F331" i="3"/>
  <c r="O331" i="3"/>
  <c r="F332" i="3"/>
  <c r="O332" i="3"/>
  <c r="F333" i="3"/>
  <c r="O333" i="3"/>
  <c r="F334" i="3"/>
  <c r="O334" i="3"/>
  <c r="F335" i="3"/>
  <c r="O335" i="3"/>
  <c r="F336" i="3"/>
  <c r="O336" i="3"/>
  <c r="O338" i="3"/>
  <c r="F339" i="3"/>
  <c r="O339" i="3"/>
  <c r="F340" i="3"/>
  <c r="O340" i="3"/>
  <c r="F341" i="3"/>
  <c r="O341" i="3"/>
  <c r="F342" i="3"/>
  <c r="O342" i="3"/>
  <c r="F343" i="3"/>
  <c r="O343" i="3"/>
  <c r="F344" i="3"/>
  <c r="O344" i="3"/>
  <c r="F345" i="3"/>
  <c r="O345" i="3"/>
  <c r="F346" i="3"/>
  <c r="O346" i="3"/>
  <c r="F347" i="3"/>
  <c r="O347" i="3"/>
  <c r="F348" i="3"/>
  <c r="O348" i="3"/>
  <c r="O349" i="3"/>
  <c r="F350" i="3"/>
  <c r="O350" i="3"/>
  <c r="F351" i="3"/>
  <c r="O351" i="3"/>
  <c r="F352" i="3"/>
  <c r="O352" i="3"/>
  <c r="F353" i="3"/>
  <c r="O353" i="3"/>
  <c r="O354" i="3"/>
  <c r="F355" i="3"/>
  <c r="O355" i="3"/>
  <c r="F356" i="3"/>
  <c r="O356" i="3"/>
  <c r="F357" i="3"/>
  <c r="O357" i="3"/>
  <c r="F358" i="3"/>
  <c r="O358" i="3"/>
  <c r="O359" i="3"/>
  <c r="F360" i="3"/>
  <c r="O360" i="3"/>
  <c r="F361" i="3"/>
  <c r="O361" i="3"/>
  <c r="F362" i="3"/>
  <c r="O362" i="3"/>
  <c r="F363" i="3"/>
  <c r="O363" i="3"/>
  <c r="O364" i="3"/>
  <c r="F365" i="3"/>
  <c r="O365" i="3"/>
  <c r="F366" i="3"/>
  <c r="O366" i="3"/>
  <c r="F367" i="3"/>
  <c r="O367" i="3"/>
  <c r="F368" i="3"/>
  <c r="O368" i="3"/>
  <c r="O369" i="3"/>
  <c r="F370" i="3"/>
  <c r="O370" i="3"/>
  <c r="F371" i="3"/>
  <c r="O371" i="3"/>
  <c r="F372" i="3"/>
  <c r="O372" i="3"/>
  <c r="F373" i="3"/>
  <c r="O373" i="3"/>
  <c r="P384" i="3"/>
  <c r="B2" i="2"/>
  <c r="C42" i="5" s="1"/>
  <c r="B3" i="2" s="1"/>
  <c r="B112" i="5" s="1"/>
  <c r="C3" i="2" s="1"/>
  <c r="B5" i="2"/>
  <c r="C39" i="2" s="1"/>
  <c r="E13" i="2"/>
  <c r="E23" i="2" s="1"/>
  <c r="O13" i="2"/>
  <c r="P13" i="2"/>
  <c r="O14" i="2"/>
  <c r="P14" i="2"/>
  <c r="D15" i="2"/>
  <c r="O15" i="2"/>
  <c r="P15" i="2"/>
  <c r="D16" i="2"/>
  <c r="L16" i="2" s="1"/>
  <c r="K16" i="2" s="1"/>
  <c r="O16" i="2"/>
  <c r="P16" i="2"/>
  <c r="D17" i="2"/>
  <c r="L17" i="2" s="1"/>
  <c r="K17" i="2" s="1"/>
  <c r="O17" i="2"/>
  <c r="P17" i="2"/>
  <c r="D18" i="2"/>
  <c r="O18" i="2"/>
  <c r="P18" i="2"/>
  <c r="D19" i="2"/>
  <c r="O19" i="2"/>
  <c r="P19" i="2"/>
  <c r="O20" i="2"/>
  <c r="P20" i="2"/>
  <c r="D21" i="2"/>
  <c r="O21" i="2"/>
  <c r="P21" i="2"/>
  <c r="O22" i="2"/>
  <c r="P22" i="2"/>
  <c r="L30" i="2"/>
  <c r="U31" i="2"/>
  <c r="U32" i="2"/>
  <c r="U34" i="2"/>
  <c r="I35" i="2"/>
  <c r="U36" i="2"/>
  <c r="L37" i="2"/>
  <c r="L48" i="2" s="1"/>
  <c r="H46" i="2" s="1"/>
  <c r="U37" i="2"/>
  <c r="U38" i="2"/>
  <c r="U39" i="2"/>
  <c r="A41" i="2"/>
  <c r="L43" i="2"/>
  <c r="L58" i="2"/>
  <c r="M58" i="2"/>
  <c r="N58" i="2"/>
  <c r="C67" i="2"/>
  <c r="L59" i="2"/>
  <c r="I74" i="2" s="1"/>
  <c r="M59" i="2"/>
  <c r="N59" i="2"/>
  <c r="L60" i="2"/>
  <c r="I75" i="2" s="1"/>
  <c r="M60" i="2"/>
  <c r="N60" i="2"/>
  <c r="L61" i="2"/>
  <c r="I76" i="2" s="1"/>
  <c r="M61" i="2"/>
  <c r="N61" i="2"/>
  <c r="L65" i="2"/>
  <c r="D73" i="2" s="1"/>
  <c r="M65" i="2"/>
  <c r="N65" i="2"/>
  <c r="L66" i="2"/>
  <c r="D74" i="2" s="1"/>
  <c r="M66" i="2"/>
  <c r="N66" i="2"/>
  <c r="L67" i="2"/>
  <c r="D75" i="2" s="1"/>
  <c r="M67" i="2"/>
  <c r="N67" i="2"/>
  <c r="L68" i="2"/>
  <c r="D76" i="2" s="1"/>
  <c r="M68" i="2"/>
  <c r="N68" i="2"/>
  <c r="O68" i="2"/>
  <c r="L69" i="2"/>
  <c r="D77" i="2" s="1"/>
  <c r="M69" i="2"/>
  <c r="N69" i="2"/>
  <c r="L70" i="2"/>
  <c r="D78" i="2" s="1"/>
  <c r="M70" i="2"/>
  <c r="N70" i="2"/>
  <c r="L71" i="2"/>
  <c r="D79" i="2" s="1"/>
  <c r="M71" i="2"/>
  <c r="N71" i="2"/>
  <c r="L72" i="2"/>
  <c r="D80" i="2" s="1"/>
  <c r="M72" i="2"/>
  <c r="N72" i="2"/>
  <c r="A73" i="2"/>
  <c r="F73" i="2"/>
  <c r="A74" i="2"/>
  <c r="F74" i="2"/>
  <c r="A75" i="2"/>
  <c r="F75" i="2"/>
  <c r="A76" i="2"/>
  <c r="F76" i="2"/>
  <c r="A77" i="2"/>
  <c r="A78" i="2"/>
  <c r="A79" i="2"/>
  <c r="A80" i="2"/>
  <c r="B126" i="2"/>
  <c r="DB459" i="4"/>
  <c r="DB458" i="4"/>
  <c r="DB462" i="4"/>
  <c r="CX459" i="4"/>
  <c r="CX458" i="4"/>
  <c r="CN459" i="4"/>
  <c r="CN458" i="4"/>
  <c r="CN462" i="4"/>
  <c r="CN460" i="4"/>
  <c r="CI459" i="4"/>
  <c r="CI458" i="4"/>
  <c r="CA459" i="4"/>
  <c r="CA458" i="4"/>
  <c r="CA462" i="4"/>
  <c r="CA460" i="4"/>
  <c r="BW459" i="4"/>
  <c r="BW458" i="4"/>
  <c r="BS459" i="4"/>
  <c r="BO459" i="4"/>
  <c r="BO458" i="4"/>
  <c r="BO462" i="4"/>
  <c r="BO460" i="4"/>
  <c r="BK458" i="4"/>
  <c r="BG460" i="4"/>
  <c r="BC459" i="4"/>
  <c r="BC458" i="4"/>
  <c r="BC462" i="4"/>
  <c r="BC460" i="4"/>
  <c r="AY459" i="4"/>
  <c r="AY458" i="4"/>
  <c r="AY460" i="4"/>
  <c r="AP459" i="4"/>
  <c r="AP458" i="4"/>
  <c r="AP462" i="4"/>
  <c r="AP460" i="4"/>
  <c r="AK458" i="4"/>
  <c r="AA459" i="4"/>
  <c r="AA458" i="4"/>
  <c r="AA462" i="4"/>
  <c r="AA460" i="4"/>
  <c r="V459" i="4"/>
  <c r="V458" i="4"/>
  <c r="V462" i="4"/>
  <c r="V460" i="4"/>
  <c r="N459" i="4"/>
  <c r="N458" i="4"/>
  <c r="N462" i="4"/>
  <c r="N460" i="4"/>
  <c r="J459" i="4"/>
  <c r="J458" i="4"/>
  <c r="J462" i="4"/>
  <c r="DA458" i="4"/>
  <c r="DA462" i="4"/>
  <c r="DA461" i="4"/>
  <c r="DA459" i="4"/>
  <c r="CV458" i="4"/>
  <c r="CV462" i="4"/>
  <c r="CV461" i="4"/>
  <c r="CQ458" i="4"/>
  <c r="CQ462" i="4"/>
  <c r="CQ461" i="4"/>
  <c r="CQ459" i="4"/>
  <c r="CL458" i="4"/>
  <c r="CL462" i="4"/>
  <c r="CL461" i="4"/>
  <c r="CL459" i="4"/>
  <c r="CH458" i="4"/>
  <c r="CH462" i="4"/>
  <c r="CH461" i="4"/>
  <c r="CD458" i="4"/>
  <c r="CD462" i="4"/>
  <c r="CD461" i="4"/>
  <c r="CD459" i="4"/>
  <c r="BZ458" i="4"/>
  <c r="BZ462" i="4"/>
  <c r="BZ461" i="4"/>
  <c r="BZ459" i="4"/>
  <c r="BV458" i="4"/>
  <c r="BV462" i="4"/>
  <c r="BV461" i="4"/>
  <c r="BR458" i="4"/>
  <c r="BR462" i="4"/>
  <c r="BR461" i="4"/>
  <c r="BR459" i="4"/>
  <c r="BN458" i="4"/>
  <c r="BN462" i="4"/>
  <c r="BN461" i="4"/>
  <c r="BN459" i="4"/>
  <c r="BJ462" i="4"/>
  <c r="BF458" i="4"/>
  <c r="BF462" i="4"/>
  <c r="BF461" i="4"/>
  <c r="BF459" i="4"/>
  <c r="BB458" i="4"/>
  <c r="BB462" i="4"/>
  <c r="BB461" i="4"/>
  <c r="BB459" i="4"/>
  <c r="AX462" i="4"/>
  <c r="AT458" i="4"/>
  <c r="AT462" i="4"/>
  <c r="AT461" i="4"/>
  <c r="AT459" i="4"/>
  <c r="AO458" i="4"/>
  <c r="AO462" i="4"/>
  <c r="AO461" i="4"/>
  <c r="AO459" i="4"/>
  <c r="AJ458" i="4"/>
  <c r="AJ462" i="4"/>
  <c r="AJ461" i="4"/>
  <c r="AD458" i="4"/>
  <c r="AD462" i="4"/>
  <c r="AD461" i="4"/>
  <c r="AD459" i="4"/>
  <c r="Y458" i="4"/>
  <c r="Y462" i="4"/>
  <c r="Y461" i="4"/>
  <c r="Y459" i="4"/>
  <c r="U458" i="4"/>
  <c r="U462" i="4"/>
  <c r="U461" i="4"/>
  <c r="Q458" i="4"/>
  <c r="Q462" i="4"/>
  <c r="Q461" i="4"/>
  <c r="Q459" i="4"/>
  <c r="M458" i="4"/>
  <c r="M462" i="4"/>
  <c r="M461" i="4"/>
  <c r="M459" i="4"/>
  <c r="I458" i="4"/>
  <c r="I462" i="4"/>
  <c r="I461" i="4"/>
  <c r="I459" i="4"/>
  <c r="CU412" i="4"/>
  <c r="CU440" i="4" s="1"/>
  <c r="CU176" i="4"/>
  <c r="CN461" i="4"/>
  <c r="BW461" i="4"/>
  <c r="AP461" i="4"/>
  <c r="V461" i="4"/>
  <c r="F461" i="4"/>
  <c r="CL460" i="4"/>
  <c r="BF460" i="4"/>
  <c r="AO460" i="4"/>
  <c r="B118" i="5" l="1"/>
  <c r="AU460" i="4"/>
  <c r="BG462" i="4"/>
  <c r="AQ462" i="4"/>
  <c r="DD459" i="4"/>
  <c r="AU462" i="4"/>
  <c r="BG458" i="4"/>
  <c r="R461" i="4"/>
  <c r="CO459" i="4"/>
  <c r="DD458" i="4"/>
  <c r="BG461" i="4"/>
  <c r="AU458" i="4"/>
  <c r="BQ459" i="4"/>
  <c r="BE460" i="4"/>
  <c r="AC460" i="4"/>
  <c r="DB461" i="4"/>
  <c r="F460" i="4"/>
  <c r="R462" i="4"/>
  <c r="AF462" i="4"/>
  <c r="CS460" i="4"/>
  <c r="CO461" i="4"/>
  <c r="CO460" i="4"/>
  <c r="BD459" i="4"/>
  <c r="R460" i="4"/>
  <c r="CB461" i="4"/>
  <c r="CZ460" i="4"/>
  <c r="CK460" i="4"/>
  <c r="BA461" i="4"/>
  <c r="AM458" i="4"/>
  <c r="X459" i="4"/>
  <c r="F462" i="4"/>
  <c r="AF459" i="4"/>
  <c r="CY462" i="4"/>
  <c r="AF460" i="4"/>
  <c r="F458" i="4"/>
  <c r="BS461" i="4"/>
  <c r="CX462" i="4"/>
  <c r="R459" i="4"/>
  <c r="CS458" i="4"/>
  <c r="BS460" i="4"/>
  <c r="CE458" i="4"/>
  <c r="BQ461" i="4"/>
  <c r="BQ460" i="4"/>
  <c r="CB458" i="4"/>
  <c r="CS462" i="4"/>
  <c r="CE460" i="4"/>
  <c r="CE462" i="4"/>
  <c r="BS462" i="4"/>
  <c r="BP461" i="4"/>
  <c r="BP460" i="4"/>
  <c r="AW462" i="4"/>
  <c r="AH460" i="4"/>
  <c r="BQ462" i="4"/>
  <c r="BE458" i="4"/>
  <c r="CF462" i="4"/>
  <c r="BH459" i="4"/>
  <c r="AG460" i="4"/>
  <c r="S461" i="4"/>
  <c r="G458" i="4"/>
  <c r="F219" i="13"/>
  <c r="F213" i="13"/>
  <c r="F207" i="13"/>
  <c r="F224" i="13"/>
  <c r="F218" i="13"/>
  <c r="F212" i="13"/>
  <c r="F206" i="13"/>
  <c r="F220" i="13"/>
  <c r="F223" i="13"/>
  <c r="F217" i="13"/>
  <c r="F211" i="13"/>
  <c r="F205" i="13"/>
  <c r="F208" i="13"/>
  <c r="F222" i="13"/>
  <c r="F216" i="13"/>
  <c r="F210" i="13"/>
  <c r="F204" i="13"/>
  <c r="F221" i="13"/>
  <c r="F215" i="13"/>
  <c r="F209" i="13"/>
  <c r="F203" i="13"/>
  <c r="F214" i="13"/>
  <c r="C42" i="14"/>
  <c r="B33" i="14" s="1"/>
  <c r="B35" i="14"/>
  <c r="B34" i="14"/>
  <c r="B34" i="5"/>
  <c r="B35" i="5"/>
  <c r="ER210" i="13"/>
  <c r="EU212" i="13"/>
  <c r="EP210" i="13"/>
  <c r="ER212" i="13"/>
  <c r="EO210" i="13"/>
  <c r="EO212" i="13"/>
  <c r="EU211" i="13"/>
  <c r="B155" i="13"/>
  <c r="ER211" i="13"/>
  <c r="B154" i="13"/>
  <c r="EO211" i="13"/>
  <c r="EU213" i="13"/>
  <c r="ER213" i="13"/>
  <c r="EU210" i="13"/>
  <c r="B15" i="13"/>
  <c r="A16" i="13"/>
  <c r="S25" i="3"/>
  <c r="S22" i="3"/>
  <c r="S24" i="3"/>
  <c r="S23" i="3"/>
  <c r="S20" i="3"/>
  <c r="S26" i="3"/>
  <c r="S19" i="3"/>
  <c r="S21" i="3"/>
  <c r="S28" i="3"/>
  <c r="S27" i="3"/>
  <c r="AA158" i="4"/>
  <c r="I369" i="3"/>
  <c r="I338" i="3"/>
  <c r="I364" i="3"/>
  <c r="I359" i="3"/>
  <c r="I354" i="3"/>
  <c r="I349" i="3"/>
  <c r="C155" i="3"/>
  <c r="C148" i="3"/>
  <c r="I266" i="3"/>
  <c r="I253" i="3"/>
  <c r="I319" i="3"/>
  <c r="I293" i="3"/>
  <c r="I333" i="3"/>
  <c r="I256" i="3"/>
  <c r="I311" i="3"/>
  <c r="I329" i="3"/>
  <c r="I315" i="3"/>
  <c r="I306" i="3"/>
  <c r="I271" i="3"/>
  <c r="I327" i="3"/>
  <c r="I323" i="3"/>
  <c r="I281" i="3"/>
  <c r="BX458" i="4"/>
  <c r="BL458" i="4"/>
  <c r="AZ459" i="4"/>
  <c r="AL460" i="4"/>
  <c r="W462" i="4"/>
  <c r="K461" i="4"/>
  <c r="AH462" i="4"/>
  <c r="T461" i="4"/>
  <c r="G460" i="4"/>
  <c r="AY462" i="4"/>
  <c r="BK459" i="4"/>
  <c r="BX460" i="4"/>
  <c r="J460" i="4"/>
  <c r="CV459" i="4"/>
  <c r="CH459" i="4"/>
  <c r="BJ459" i="4"/>
  <c r="AX459" i="4"/>
  <c r="I460" i="4"/>
  <c r="D6" i="2"/>
  <c r="D39" i="2"/>
  <c r="BX462" i="4"/>
  <c r="X462" i="4"/>
  <c r="CU459" i="4"/>
  <c r="CG459" i="4"/>
  <c r="BU461" i="4"/>
  <c r="BI458" i="4"/>
  <c r="T459" i="4"/>
  <c r="L462" i="4"/>
  <c r="G461" i="4"/>
  <c r="BL460" i="4"/>
  <c r="G459" i="4"/>
  <c r="H458" i="4"/>
  <c r="BT458" i="4"/>
  <c r="BH460" i="4"/>
  <c r="AV458" i="4"/>
  <c r="AG458" i="4"/>
  <c r="S458" i="4"/>
  <c r="S57" i="3"/>
  <c r="BL462" i="4"/>
  <c r="G462" i="4"/>
  <c r="BL461" i="4"/>
  <c r="BA460" i="4"/>
  <c r="BX459" i="4"/>
  <c r="CE461" i="4"/>
  <c r="Q460" i="4"/>
  <c r="BI462" i="4"/>
  <c r="BU459" i="4"/>
  <c r="DD461" i="4"/>
  <c r="AS460" i="4"/>
  <c r="AC462" i="4"/>
  <c r="P460" i="4"/>
  <c r="CT458" i="4"/>
  <c r="CZ461" i="4"/>
  <c r="CG458" i="4"/>
  <c r="BD458" i="4"/>
  <c r="AQ460" i="4"/>
  <c r="AB461" i="4"/>
  <c r="CX460" i="4"/>
  <c r="BL459" i="4"/>
  <c r="CI460" i="4"/>
  <c r="CI462" i="4"/>
  <c r="CK461" i="4"/>
  <c r="CA461" i="4"/>
  <c r="DA460" i="4"/>
  <c r="BN460" i="4"/>
  <c r="Y460" i="4"/>
  <c r="M460" i="4"/>
  <c r="X460" i="4"/>
  <c r="CZ459" i="4"/>
  <c r="CK462" i="4"/>
  <c r="AM460" i="4"/>
  <c r="L460" i="4"/>
  <c r="I250" i="3"/>
  <c r="I219" i="3"/>
  <c r="I194" i="3"/>
  <c r="I167" i="3"/>
  <c r="I136" i="3"/>
  <c r="I82" i="3"/>
  <c r="I55" i="3"/>
  <c r="I21" i="3"/>
  <c r="I10" i="3"/>
  <c r="I39" i="3"/>
  <c r="I174" i="3"/>
  <c r="I93" i="3"/>
  <c r="I3" i="3"/>
  <c r="I245" i="3"/>
  <c r="I217" i="3"/>
  <c r="I188" i="3"/>
  <c r="I162" i="3"/>
  <c r="I129" i="3"/>
  <c r="I80" i="3"/>
  <c r="I8" i="3"/>
  <c r="I32" i="3"/>
  <c r="I229" i="3"/>
  <c r="I209" i="3"/>
  <c r="I181" i="3"/>
  <c r="I157" i="3"/>
  <c r="I109" i="3"/>
  <c r="I68" i="3"/>
  <c r="I26" i="3"/>
  <c r="I5" i="3"/>
  <c r="I222" i="3"/>
  <c r="I206" i="3"/>
  <c r="I146" i="3"/>
  <c r="I58" i="3"/>
  <c r="S56" i="3"/>
  <c r="CV176" i="4"/>
  <c r="CV412" i="4"/>
  <c r="CV440" i="4" s="1"/>
  <c r="AX461" i="4"/>
  <c r="BJ461" i="4"/>
  <c r="AK462" i="4"/>
  <c r="BK462" i="4"/>
  <c r="BW462" i="4"/>
  <c r="CU461" i="4"/>
  <c r="X461" i="4"/>
  <c r="CF460" i="4"/>
  <c r="BD460" i="4"/>
  <c r="K460" i="4"/>
  <c r="CF459" i="4"/>
  <c r="AV459" i="4"/>
  <c r="S459" i="4"/>
  <c r="CK458" i="4"/>
  <c r="AZ458" i="4"/>
  <c r="P458" i="4"/>
  <c r="BK461" i="4"/>
  <c r="J461" i="4"/>
  <c r="BA458" i="4"/>
  <c r="BU462" i="4"/>
  <c r="AV462" i="4"/>
  <c r="S462" i="4"/>
  <c r="CT461" i="4"/>
  <c r="AV461" i="4"/>
  <c r="W461" i="4"/>
  <c r="H460" i="4"/>
  <c r="AX458" i="4"/>
  <c r="BJ458" i="4"/>
  <c r="AK459" i="4"/>
  <c r="D22" i="2"/>
  <c r="L22" i="2" s="1"/>
  <c r="K22" i="2" s="1"/>
  <c r="D14" i="2"/>
  <c r="L14" i="2" s="1"/>
  <c r="K14" i="2" s="1"/>
  <c r="CZ462" i="4"/>
  <c r="BT462" i="4"/>
  <c r="AS462" i="4"/>
  <c r="P462" i="4"/>
  <c r="AS461" i="4"/>
  <c r="AZ460" i="4"/>
  <c r="AB460" i="4"/>
  <c r="AQ459" i="4"/>
  <c r="CF458" i="4"/>
  <c r="AQ458" i="4"/>
  <c r="K458" i="4"/>
  <c r="BJ460" i="4"/>
  <c r="CU462" i="4"/>
  <c r="AM462" i="4"/>
  <c r="K462" i="4"/>
  <c r="AM461" i="4"/>
  <c r="CY460" i="4"/>
  <c r="AV460" i="4"/>
  <c r="W460" i="4"/>
  <c r="DC459" i="4"/>
  <c r="AL459" i="4"/>
  <c r="H459" i="4"/>
  <c r="AL458" i="4"/>
  <c r="AU461" i="4"/>
  <c r="CT462" i="4"/>
  <c r="H462" i="4"/>
  <c r="CG461" i="4"/>
  <c r="BI461" i="4"/>
  <c r="AL461" i="4"/>
  <c r="P461" i="4"/>
  <c r="CV460" i="4"/>
  <c r="BU460" i="4"/>
  <c r="T460" i="4"/>
  <c r="AH459" i="4"/>
  <c r="BU458" i="4"/>
  <c r="AH458" i="4"/>
  <c r="BR460" i="4"/>
  <c r="CQ460" i="4"/>
  <c r="D13" i="2"/>
  <c r="L13" i="2" s="1"/>
  <c r="K13" i="2" s="1"/>
  <c r="CF461" i="4"/>
  <c r="BH461" i="4"/>
  <c r="AK461" i="4"/>
  <c r="CU460" i="4"/>
  <c r="S460" i="4"/>
  <c r="CY459" i="4"/>
  <c r="AG459" i="4"/>
  <c r="F204" i="4"/>
  <c r="BH462" i="4"/>
  <c r="AG462" i="4"/>
  <c r="BE461" i="4"/>
  <c r="CT460" i="4"/>
  <c r="BI459" i="4"/>
  <c r="AC459" i="4"/>
  <c r="DC458" i="4"/>
  <c r="AC458" i="4"/>
  <c r="A4" i="4"/>
  <c r="U460" i="4"/>
  <c r="BE462" i="4"/>
  <c r="BD461" i="4"/>
  <c r="AG461" i="4"/>
  <c r="L461" i="4"/>
  <c r="CT459" i="4"/>
  <c r="AB459" i="4"/>
  <c r="CY458" i="4"/>
  <c r="AB458" i="4"/>
  <c r="AJ460" i="4"/>
  <c r="BH458" i="4"/>
  <c r="W458" i="4"/>
  <c r="CH460" i="4"/>
  <c r="W459" i="4"/>
  <c r="D372" i="3"/>
  <c r="D373" i="3"/>
  <c r="D371" i="3"/>
  <c r="D370" i="3"/>
  <c r="BV460" i="4"/>
  <c r="AZ462" i="4"/>
  <c r="BT461" i="4"/>
  <c r="AZ461" i="4"/>
  <c r="CG460" i="4"/>
  <c r="CX461" i="4"/>
  <c r="BY458" i="4"/>
  <c r="BM458" i="4"/>
  <c r="BB460" i="4"/>
  <c r="AA461" i="4"/>
  <c r="O458" i="4"/>
  <c r="S37" i="3"/>
  <c r="S34" i="3"/>
  <c r="S36" i="3"/>
  <c r="B9" i="2"/>
  <c r="S35" i="3"/>
  <c r="C270" i="3"/>
  <c r="C263" i="3"/>
  <c r="C126" i="3"/>
  <c r="L63" i="2"/>
  <c r="C254" i="3"/>
  <c r="C77" i="3"/>
  <c r="B342" i="3"/>
  <c r="C162" i="3"/>
  <c r="C312" i="3"/>
  <c r="C4" i="3"/>
  <c r="C8" i="3"/>
  <c r="C12" i="3"/>
  <c r="C16" i="3"/>
  <c r="C20" i="3"/>
  <c r="C24" i="3"/>
  <c r="C28" i="3"/>
  <c r="C32" i="3"/>
  <c r="C36" i="3"/>
  <c r="C40" i="3"/>
  <c r="C44" i="3"/>
  <c r="C48" i="3"/>
  <c r="C52" i="3"/>
  <c r="R1" i="3"/>
  <c r="C6" i="3"/>
  <c r="C10" i="3"/>
  <c r="C14" i="3"/>
  <c r="C18" i="3"/>
  <c r="C22" i="3"/>
  <c r="C26" i="3"/>
  <c r="C30" i="3"/>
  <c r="C38" i="3"/>
  <c r="C42" i="3"/>
  <c r="C50" i="3"/>
  <c r="D5" i="2"/>
  <c r="C15" i="3"/>
  <c r="C27" i="3"/>
  <c r="C35" i="3"/>
  <c r="C47" i="3"/>
  <c r="C5" i="3"/>
  <c r="C9" i="3"/>
  <c r="C13" i="3"/>
  <c r="C17" i="3"/>
  <c r="C21" i="3"/>
  <c r="C25" i="3"/>
  <c r="C29" i="3"/>
  <c r="C33" i="3"/>
  <c r="C37" i="3"/>
  <c r="C41" i="3"/>
  <c r="C45" i="3"/>
  <c r="C49" i="3"/>
  <c r="C53" i="3"/>
  <c r="C34" i="3"/>
  <c r="C46" i="3"/>
  <c r="C54" i="3"/>
  <c r="C3" i="3"/>
  <c r="C7" i="3"/>
  <c r="C11" i="3"/>
  <c r="C19" i="3"/>
  <c r="C23" i="3"/>
  <c r="C31" i="3"/>
  <c r="C39" i="3"/>
  <c r="C43" i="3"/>
  <c r="C51" i="3"/>
  <c r="C276" i="3"/>
  <c r="C353" i="3"/>
  <c r="C302" i="3"/>
  <c r="C172" i="3"/>
  <c r="C274" i="3"/>
  <c r="C242" i="3"/>
  <c r="C63" i="3"/>
  <c r="C212" i="3"/>
  <c r="C142" i="3"/>
  <c r="C112" i="3"/>
  <c r="C372" i="3"/>
  <c r="L19" i="2"/>
  <c r="K19" i="2" s="1"/>
  <c r="I73" i="2"/>
  <c r="C309" i="3"/>
  <c r="C298" i="3"/>
  <c r="C130" i="3"/>
  <c r="C230" i="3"/>
  <c r="C194" i="3"/>
  <c r="C226" i="3"/>
  <c r="C98" i="3"/>
  <c r="C206" i="3"/>
  <c r="C324" i="3"/>
  <c r="C233" i="3"/>
  <c r="C339" i="3"/>
  <c r="C89" i="3"/>
  <c r="C283" i="3"/>
  <c r="C159" i="3"/>
  <c r="C164" i="3"/>
  <c r="C123" i="3"/>
  <c r="L15" i="2"/>
  <c r="K15" i="2" s="1"/>
  <c r="C289" i="3"/>
  <c r="C218" i="3"/>
  <c r="C350" i="3"/>
  <c r="C170" i="3"/>
  <c r="C188" i="3"/>
  <c r="C186" i="3"/>
  <c r="C81" i="3"/>
  <c r="C61" i="3"/>
  <c r="C138" i="3"/>
  <c r="C189" i="3"/>
  <c r="C166" i="3"/>
  <c r="C101" i="3"/>
  <c r="C65" i="3"/>
  <c r="C115" i="3"/>
  <c r="C86" i="3"/>
  <c r="F220" i="4"/>
  <c r="C84" i="3"/>
  <c r="F215" i="4"/>
  <c r="C367" i="3"/>
  <c r="T45" i="3"/>
  <c r="T41" i="3"/>
  <c r="T37" i="3"/>
  <c r="T33" i="3"/>
  <c r="T29" i="3"/>
  <c r="T25" i="3"/>
  <c r="T34" i="3"/>
  <c r="T44" i="3"/>
  <c r="T40" i="3"/>
  <c r="T36" i="3"/>
  <c r="T32" i="3"/>
  <c r="T28" i="3"/>
  <c r="T24" i="3"/>
  <c r="T38" i="3"/>
  <c r="T30" i="3"/>
  <c r="T43" i="3"/>
  <c r="T39" i="3"/>
  <c r="T35" i="3"/>
  <c r="T31" i="3"/>
  <c r="T27" i="3"/>
  <c r="T42" i="3"/>
  <c r="T26" i="3"/>
  <c r="C295" i="3"/>
  <c r="C262" i="3"/>
  <c r="C306" i="3"/>
  <c r="B340" i="3"/>
  <c r="C111" i="3"/>
  <c r="C297" i="3"/>
  <c r="C219" i="3"/>
  <c r="C83" i="3"/>
  <c r="C229" i="3"/>
  <c r="C231" i="3"/>
  <c r="C237" i="3"/>
  <c r="C290" i="3"/>
  <c r="C308" i="3"/>
  <c r="C333" i="3"/>
  <c r="C351" i="3"/>
  <c r="C370" i="3"/>
  <c r="C196" i="3"/>
  <c r="C258" i="3"/>
  <c r="C286" i="3"/>
  <c r="C320" i="3"/>
  <c r="C332" i="3"/>
  <c r="C343" i="3"/>
  <c r="C361" i="3"/>
  <c r="C157" i="3"/>
  <c r="C110" i="3"/>
  <c r="C314" i="3"/>
  <c r="C292" i="3"/>
  <c r="C260" i="3"/>
  <c r="C213" i="3"/>
  <c r="C179" i="3"/>
  <c r="C319" i="3"/>
  <c r="C300" i="3"/>
  <c r="C277" i="3"/>
  <c r="C252" i="3"/>
  <c r="C184" i="3"/>
  <c r="C145" i="3"/>
  <c r="C74" i="3"/>
  <c r="C191" i="3"/>
  <c r="C137" i="3"/>
  <c r="C187" i="3"/>
  <c r="C99" i="3"/>
  <c r="C114" i="3"/>
  <c r="C139" i="3"/>
  <c r="C79" i="3"/>
  <c r="F205" i="4"/>
  <c r="L18" i="2"/>
  <c r="K18" i="2" s="1"/>
  <c r="C356" i="3"/>
  <c r="C223" i="3"/>
  <c r="C282" i="3"/>
  <c r="C331" i="3"/>
  <c r="C373" i="3"/>
  <c r="C272" i="3"/>
  <c r="C330" i="3"/>
  <c r="C360" i="3"/>
  <c r="C322" i="3"/>
  <c r="C269" i="3"/>
  <c r="C160" i="3"/>
  <c r="C310" i="3"/>
  <c r="C256" i="3"/>
  <c r="C248" i="3"/>
  <c r="C341" i="3"/>
  <c r="C352" i="3"/>
  <c r="C371" i="3"/>
  <c r="C201" i="3"/>
  <c r="C266" i="3"/>
  <c r="C294" i="3"/>
  <c r="C328" i="3"/>
  <c r="B344" i="3"/>
  <c r="C363" i="3"/>
  <c r="C156" i="3"/>
  <c r="C90" i="3"/>
  <c r="C307" i="3"/>
  <c r="C288" i="3"/>
  <c r="C246" i="3"/>
  <c r="C208" i="3"/>
  <c r="C177" i="3"/>
  <c r="C143" i="3"/>
  <c r="C316" i="3"/>
  <c r="C296" i="3"/>
  <c r="C268" i="3"/>
  <c r="C249" i="3"/>
  <c r="C211" i="3"/>
  <c r="C167" i="3"/>
  <c r="C127" i="3"/>
  <c r="C72" i="3"/>
  <c r="C227" i="3"/>
  <c r="C165" i="3"/>
  <c r="C106" i="3"/>
  <c r="C216" i="3"/>
  <c r="C176" i="3"/>
  <c r="C133" i="3"/>
  <c r="C78" i="3"/>
  <c r="C146" i="3"/>
  <c r="C102" i="3"/>
  <c r="F218" i="4"/>
  <c r="C120" i="3"/>
  <c r="C342" i="3"/>
  <c r="R45" i="3"/>
  <c r="R28" i="3"/>
  <c r="R23" i="3"/>
  <c r="R25" i="3"/>
  <c r="R46" i="3"/>
  <c r="R20" i="3"/>
  <c r="R42" i="3"/>
  <c r="R27" i="3"/>
  <c r="R22" i="3"/>
  <c r="R19" i="3"/>
  <c r="R40" i="3"/>
  <c r="R47" i="3"/>
  <c r="R41" i="3"/>
  <c r="R26" i="3"/>
  <c r="R21" i="3"/>
  <c r="R24" i="3"/>
  <c r="C202" i="3"/>
  <c r="C70" i="3"/>
  <c r="C203" i="3"/>
  <c r="C198" i="3"/>
  <c r="C197" i="3"/>
  <c r="C247" i="3"/>
  <c r="C261" i="3"/>
  <c r="C303" i="3"/>
  <c r="C355" i="3"/>
  <c r="C181" i="3"/>
  <c r="C366" i="3"/>
  <c r="C348" i="3"/>
  <c r="C344" i="3"/>
  <c r="C334" i="3"/>
  <c r="C323" i="3"/>
  <c r="C299" i="3"/>
  <c r="C265" i="3"/>
  <c r="C238" i="3"/>
  <c r="F207" i="4"/>
  <c r="F217" i="4"/>
  <c r="F212" i="4"/>
  <c r="F222" i="4"/>
  <c r="C64" i="3"/>
  <c r="C116" i="3"/>
  <c r="F206" i="4"/>
  <c r="F213" i="4"/>
  <c r="C85" i="3"/>
  <c r="C275" i="3"/>
  <c r="C317" i="3"/>
  <c r="B343" i="3"/>
  <c r="C365" i="3"/>
  <c r="C347" i="3"/>
  <c r="B341" i="3"/>
  <c r="C321" i="3"/>
  <c r="C285" i="3"/>
  <c r="C257" i="3"/>
  <c r="C232" i="3"/>
  <c r="F209" i="4"/>
  <c r="F219" i="4"/>
  <c r="F210" i="4"/>
  <c r="F203" i="4"/>
  <c r="C234" i="3"/>
  <c r="C357" i="3"/>
  <c r="C368" i="3"/>
  <c r="C346" i="3"/>
  <c r="C340" i="3"/>
  <c r="C329" i="3"/>
  <c r="C313" i="3"/>
  <c r="C279" i="3"/>
  <c r="C255" i="3"/>
  <c r="F211" i="4"/>
  <c r="F221" i="4"/>
  <c r="F216" i="4"/>
  <c r="F208" i="4"/>
  <c r="C58" i="3"/>
  <c r="C75" i="3"/>
  <c r="C88" i="3"/>
  <c r="C107" i="3"/>
  <c r="C124" i="3"/>
  <c r="C136" i="3"/>
  <c r="C69" i="3"/>
  <c r="C87" i="3"/>
  <c r="C100" i="3"/>
  <c r="C113" i="3"/>
  <c r="C140" i="3"/>
  <c r="C147" i="3"/>
  <c r="C57" i="3"/>
  <c r="C76" i="3"/>
  <c r="C95" i="3"/>
  <c r="C103" i="3"/>
  <c r="C132" i="3"/>
  <c r="C150" i="3"/>
  <c r="C169" i="3"/>
  <c r="C180" i="3"/>
  <c r="C195" i="3"/>
  <c r="C224" i="3"/>
  <c r="C235" i="3"/>
  <c r="C119" i="3"/>
  <c r="C154" i="3"/>
  <c r="C174" i="3"/>
  <c r="C192" i="3"/>
  <c r="C225" i="3"/>
  <c r="C62" i="3"/>
  <c r="C73" i="3"/>
  <c r="C125" i="3"/>
  <c r="C152" i="3"/>
  <c r="C185" i="3"/>
  <c r="C210" i="3"/>
  <c r="C240" i="3"/>
  <c r="C251" i="3"/>
  <c r="C259" i="3"/>
  <c r="C273" i="3"/>
  <c r="C287" i="3"/>
  <c r="C304" i="3"/>
  <c r="C315" i="3"/>
  <c r="C161" i="3"/>
  <c r="C178" i="3"/>
  <c r="C200" i="3"/>
  <c r="C214" i="3"/>
  <c r="C244" i="3"/>
  <c r="C264" i="3"/>
  <c r="C284" i="3"/>
  <c r="C301" i="3"/>
  <c r="C311" i="3"/>
  <c r="C362" i="3"/>
  <c r="C171" i="3"/>
  <c r="C149" i="3"/>
  <c r="C91" i="3"/>
  <c r="C318" i="3"/>
  <c r="C305" i="3"/>
  <c r="C278" i="3"/>
  <c r="K250" i="3"/>
  <c r="K252" i="3" s="1"/>
  <c r="C215" i="3"/>
  <c r="C199" i="3"/>
  <c r="C168" i="3"/>
  <c r="C151" i="3"/>
  <c r="C326" i="3"/>
  <c r="C291" i="3"/>
  <c r="C271" i="3"/>
  <c r="C253" i="3"/>
  <c r="C241" i="3"/>
  <c r="C207" i="3"/>
  <c r="C175" i="3"/>
  <c r="C158" i="3"/>
  <c r="C56" i="3"/>
  <c r="C221" i="3"/>
  <c r="C190" i="3"/>
  <c r="C163" i="3"/>
  <c r="C118" i="3"/>
  <c r="C243" i="3"/>
  <c r="C228" i="3"/>
  <c r="C183" i="3"/>
  <c r="C173" i="3"/>
  <c r="C144" i="3"/>
  <c r="C122" i="3"/>
  <c r="C97" i="3"/>
  <c r="C68" i="3"/>
  <c r="C141" i="3"/>
  <c r="C108" i="3"/>
  <c r="C96" i="3"/>
  <c r="C59" i="3"/>
  <c r="C131" i="3"/>
  <c r="C105" i="3"/>
  <c r="C71" i="3"/>
  <c r="F214" i="4"/>
  <c r="F224" i="4"/>
  <c r="C336" i="3"/>
  <c r="C156" i="13"/>
  <c r="C327" i="3"/>
  <c r="C236" i="3"/>
  <c r="C220" i="3"/>
  <c r="C182" i="3"/>
  <c r="C153" i="3"/>
  <c r="C117" i="3"/>
  <c r="C239" i="3"/>
  <c r="C193" i="3"/>
  <c r="C134" i="3"/>
  <c r="C121" i="3"/>
  <c r="C93" i="3"/>
  <c r="C66" i="3"/>
  <c r="C129" i="3"/>
  <c r="C104" i="3"/>
  <c r="C94" i="3"/>
  <c r="C128" i="3"/>
  <c r="C92" i="3"/>
  <c r="C60" i="3"/>
  <c r="F223" i="4"/>
  <c r="C267" i="3"/>
  <c r="C345" i="3"/>
  <c r="Q306" i="3"/>
  <c r="E96" i="3"/>
  <c r="Q96" i="3" s="1"/>
  <c r="T16" i="3"/>
  <c r="T321" i="3"/>
  <c r="T330" i="3"/>
  <c r="Q315" i="3"/>
  <c r="B100" i="3"/>
  <c r="B154" i="4"/>
  <c r="HG3" i="4" s="1"/>
  <c r="E95" i="3"/>
  <c r="F95" i="3" s="1"/>
  <c r="T14" i="3"/>
  <c r="T328" i="3"/>
  <c r="E97" i="3"/>
  <c r="F97" i="3" s="1"/>
  <c r="T333" i="3"/>
  <c r="R35" i="3"/>
  <c r="R12" i="3"/>
  <c r="R8" i="3"/>
  <c r="R5" i="3"/>
  <c r="R34" i="3"/>
  <c r="R11" i="3"/>
  <c r="R7" i="3"/>
  <c r="R37" i="3"/>
  <c r="R10" i="3"/>
  <c r="R4" i="3"/>
  <c r="R36" i="3"/>
  <c r="R9" i="3"/>
  <c r="R6" i="3"/>
  <c r="Q321" i="3"/>
  <c r="H15" i="2"/>
  <c r="EO211" i="4"/>
  <c r="ER212" i="4"/>
  <c r="T9" i="3"/>
  <c r="T23" i="3"/>
  <c r="T7" i="3"/>
  <c r="T22" i="3"/>
  <c r="B95" i="3"/>
  <c r="H2" i="2" s="1"/>
  <c r="B99" i="3"/>
  <c r="B103" i="3"/>
  <c r="H7" i="2" s="1"/>
  <c r="T12" i="3"/>
  <c r="Q26" i="3"/>
  <c r="T4" i="3"/>
  <c r="T10" i="3"/>
  <c r="Q32" i="3"/>
  <c r="Q147" i="3"/>
  <c r="Q58" i="3"/>
  <c r="Q206" i="3"/>
  <c r="E94" i="3"/>
  <c r="Q94" i="3" s="1"/>
  <c r="Q194" i="3"/>
  <c r="T320" i="3"/>
  <c r="Q327" i="3"/>
  <c r="Q219" i="3"/>
  <c r="Q314" i="3"/>
  <c r="T322" i="3"/>
  <c r="Q55" i="3"/>
  <c r="Q105" i="3"/>
  <c r="T336" i="3"/>
  <c r="Q324" i="3"/>
  <c r="T315" i="3"/>
  <c r="T329" i="3"/>
  <c r="T317" i="3"/>
  <c r="Q311" i="3"/>
  <c r="H18" i="2"/>
  <c r="H19" i="2"/>
  <c r="H28" i="2"/>
  <c r="EU213" i="4"/>
  <c r="EO210" i="4"/>
  <c r="T3" i="3"/>
  <c r="T18" i="3"/>
  <c r="EO212" i="4"/>
  <c r="T11" i="3"/>
  <c r="Q42" i="3"/>
  <c r="B97" i="3"/>
  <c r="H3" i="2" s="1"/>
  <c r="B101" i="3"/>
  <c r="H6" i="2" s="1"/>
  <c r="T6" i="3"/>
  <c r="T19" i="3"/>
  <c r="Q7" i="3"/>
  <c r="T17" i="3"/>
  <c r="Q39" i="3"/>
  <c r="Q93" i="3"/>
  <c r="E99" i="3"/>
  <c r="E102" i="3"/>
  <c r="F102" i="3" s="1"/>
  <c r="Q312" i="3"/>
  <c r="T324" i="3"/>
  <c r="E101" i="3"/>
  <c r="Q271" i="3"/>
  <c r="Q318" i="3"/>
  <c r="T326" i="3"/>
  <c r="E100" i="3"/>
  <c r="T334" i="3"/>
  <c r="T314" i="3"/>
  <c r="T331" i="3"/>
  <c r="H25" i="2"/>
  <c r="EU211" i="4"/>
  <c r="T20" i="3"/>
  <c r="B94" i="3"/>
  <c r="F2" i="2" s="1"/>
  <c r="B102" i="3"/>
  <c r="F7" i="2" s="1"/>
  <c r="Q8" i="3"/>
  <c r="E103" i="3"/>
  <c r="F103" i="3" s="1"/>
  <c r="T316" i="3"/>
  <c r="Q188" i="3"/>
  <c r="T319" i="3"/>
  <c r="E104" i="3"/>
  <c r="O104" i="3" s="1"/>
  <c r="Q317" i="3"/>
  <c r="T318" i="3"/>
  <c r="EU212" i="4"/>
  <c r="T8" i="3"/>
  <c r="B104" i="3"/>
  <c r="Q269" i="3"/>
  <c r="Q146" i="3"/>
  <c r="L5" i="2"/>
  <c r="L77" i="2" s="1"/>
  <c r="H29" i="2"/>
  <c r="ER213" i="4"/>
  <c r="B96" i="3"/>
  <c r="F3" i="2" s="1"/>
  <c r="T13" i="3"/>
  <c r="Q81" i="3"/>
  <c r="E98" i="3"/>
  <c r="Q98" i="3" s="1"/>
  <c r="Q323" i="3"/>
  <c r="T323" i="3"/>
  <c r="T325" i="3"/>
  <c r="T332" i="3"/>
  <c r="H17" i="2"/>
  <c r="H20" i="2"/>
  <c r="H21" i="2"/>
  <c r="ER210" i="4"/>
  <c r="Q6" i="3"/>
  <c r="T15" i="3"/>
  <c r="B98" i="3"/>
  <c r="F4" i="2" s="1"/>
  <c r="Q9" i="3"/>
  <c r="ER211" i="4"/>
  <c r="T21" i="3"/>
  <c r="Q56" i="3"/>
  <c r="E105" i="3"/>
  <c r="O105" i="3" s="1"/>
  <c r="B105" i="3"/>
  <c r="Q326" i="3"/>
  <c r="T312" i="3"/>
  <c r="T327" i="3"/>
  <c r="T313" i="3"/>
  <c r="Q266" i="3"/>
  <c r="T5" i="3"/>
  <c r="EU210" i="4"/>
  <c r="P2" i="3"/>
  <c r="CT176" i="4"/>
  <c r="CT412" i="4"/>
  <c r="CT440" i="4" s="1"/>
  <c r="CP460" i="4"/>
  <c r="CP461" i="4"/>
  <c r="CC460" i="4"/>
  <c r="CC461" i="4"/>
  <c r="CC458" i="4"/>
  <c r="CC459" i="4"/>
  <c r="CC462" i="4"/>
  <c r="CP459" i="4"/>
  <c r="CP458" i="4"/>
  <c r="CS176" i="4"/>
  <c r="CS412" i="4"/>
  <c r="CS440" i="4" s="1"/>
  <c r="CJ460" i="4"/>
  <c r="CJ461" i="4"/>
  <c r="CJ462" i="4"/>
  <c r="CJ458" i="4"/>
  <c r="L76" i="2"/>
  <c r="L21" i="2"/>
  <c r="K21" i="2" s="1"/>
  <c r="H22" i="2"/>
  <c r="EP210" i="4"/>
  <c r="Q38" i="3"/>
  <c r="Q267" i="3"/>
  <c r="H14" i="2"/>
  <c r="H16" i="2"/>
  <c r="H26" i="2"/>
  <c r="Q320" i="3"/>
  <c r="T335" i="3"/>
  <c r="H13" i="2"/>
  <c r="BT460" i="4"/>
  <c r="CJ459" i="4"/>
  <c r="C204" i="3"/>
  <c r="AW461" i="4"/>
  <c r="AW460" i="4"/>
  <c r="B339" i="3"/>
  <c r="C335" i="3"/>
  <c r="C325" i="3"/>
  <c r="BY462" i="4"/>
  <c r="BM461" i="4"/>
  <c r="BM460" i="4"/>
  <c r="BY459" i="4"/>
  <c r="BA459" i="4"/>
  <c r="AW459" i="4"/>
  <c r="BT459" i="4"/>
  <c r="C358" i="3"/>
  <c r="O462" i="4"/>
  <c r="O459" i="4"/>
  <c r="BM462" i="4"/>
  <c r="BM459" i="4"/>
  <c r="C69" i="2"/>
  <c r="C66" i="2"/>
  <c r="O99" i="3" l="1"/>
  <c r="G5" i="2"/>
  <c r="H5" i="2"/>
  <c r="F6" i="2"/>
  <c r="Q101" i="3"/>
  <c r="I6" i="2"/>
  <c r="F100" i="3"/>
  <c r="I5" i="2"/>
  <c r="G6" i="2"/>
  <c r="H4" i="2"/>
  <c r="F5" i="2"/>
  <c r="B36" i="14"/>
  <c r="B33" i="5"/>
  <c r="B36" i="5" s="1"/>
  <c r="HG165" i="13"/>
  <c r="HG144" i="13"/>
  <c r="HG114" i="13"/>
  <c r="HG71" i="13"/>
  <c r="HG53" i="13"/>
  <c r="HG22" i="13"/>
  <c r="HG27" i="13"/>
  <c r="HG112" i="13"/>
  <c r="HG96" i="13"/>
  <c r="HG62" i="13"/>
  <c r="HG44" i="13"/>
  <c r="HG36" i="13"/>
  <c r="HG32" i="13"/>
  <c r="HG26" i="13"/>
  <c r="HG18" i="13"/>
  <c r="HG14" i="13"/>
  <c r="HG56" i="13"/>
  <c r="HG110" i="13"/>
  <c r="HG95" i="13"/>
  <c r="HG84" i="13"/>
  <c r="HG70" i="13"/>
  <c r="HG61" i="13"/>
  <c r="HG58" i="13"/>
  <c r="HG52" i="13"/>
  <c r="HG40" i="13"/>
  <c r="HG31" i="13"/>
  <c r="HG6" i="13"/>
  <c r="HG3" i="13"/>
  <c r="HG50" i="13"/>
  <c r="HG94" i="13"/>
  <c r="HG57" i="13"/>
  <c r="HG21" i="13"/>
  <c r="HG16" i="13"/>
  <c r="HG174" i="13"/>
  <c r="HG143" i="13"/>
  <c r="HG108" i="13"/>
  <c r="HG81" i="13"/>
  <c r="HG35" i="13"/>
  <c r="HG30" i="13"/>
  <c r="HG25" i="13"/>
  <c r="HG17" i="13"/>
  <c r="HG13" i="13"/>
  <c r="HG9" i="13"/>
  <c r="HG5" i="13"/>
  <c r="HG147" i="13"/>
  <c r="HG140" i="13"/>
  <c r="HG79" i="13"/>
  <c r="HG59" i="13"/>
  <c r="HG43" i="13"/>
  <c r="HG137" i="13"/>
  <c r="HG20" i="13"/>
  <c r="HG11" i="13"/>
  <c r="HG127" i="13"/>
  <c r="HG48" i="13"/>
  <c r="HG38" i="13"/>
  <c r="HG34" i="13"/>
  <c r="HG24" i="13"/>
  <c r="HG12" i="13"/>
  <c r="HG86" i="13"/>
  <c r="HG153" i="13"/>
  <c r="HG102" i="13"/>
  <c r="HG90" i="13"/>
  <c r="HG77" i="13"/>
  <c r="HG64" i="13"/>
  <c r="HG55" i="13"/>
  <c r="HG42" i="13"/>
  <c r="HG28" i="13"/>
  <c r="HG37" i="13"/>
  <c r="HG23" i="13"/>
  <c r="HG8" i="13"/>
  <c r="HG7" i="13"/>
  <c r="HG190" i="13"/>
  <c r="HG130" i="13"/>
  <c r="HG123" i="13"/>
  <c r="HG101" i="13"/>
  <c r="HG89" i="13"/>
  <c r="HG54" i="13"/>
  <c r="HG46" i="13"/>
  <c r="HG19" i="13"/>
  <c r="HG98" i="13"/>
  <c r="HG178" i="13"/>
  <c r="HG121" i="13"/>
  <c r="HG100" i="13"/>
  <c r="HG88" i="13"/>
  <c r="HG47" i="13"/>
  <c r="HG4" i="13"/>
  <c r="HG118" i="13"/>
  <c r="HG41" i="13"/>
  <c r="HG132" i="13"/>
  <c r="HG199" i="13"/>
  <c r="HG193" i="13"/>
  <c r="HG180" i="13"/>
  <c r="HG172" i="13"/>
  <c r="HG51" i="13"/>
  <c r="HG80" i="13"/>
  <c r="HG173" i="13"/>
  <c r="HG116" i="13"/>
  <c r="HG163" i="13"/>
  <c r="HG39" i="13"/>
  <c r="HG66" i="13"/>
  <c r="HG195" i="13"/>
  <c r="HG189" i="13"/>
  <c r="HG74" i="13"/>
  <c r="HG166" i="13"/>
  <c r="HG186" i="13"/>
  <c r="HG176" i="13"/>
  <c r="HG202" i="13"/>
  <c r="HG120" i="13"/>
  <c r="HG49" i="13"/>
  <c r="HG198" i="13"/>
  <c r="HG69" i="13"/>
  <c r="HG191" i="13"/>
  <c r="HG185" i="13"/>
  <c r="HG150" i="13"/>
  <c r="HG171" i="13"/>
  <c r="HG103" i="13"/>
  <c r="HG113" i="13"/>
  <c r="HG194" i="13"/>
  <c r="HG75" i="13"/>
  <c r="HG87" i="13"/>
  <c r="HG122" i="13"/>
  <c r="HG152" i="13"/>
  <c r="HG203" i="13"/>
  <c r="HG162" i="13"/>
  <c r="HG187" i="13"/>
  <c r="HG181" i="13"/>
  <c r="HG117" i="13"/>
  <c r="HG82" i="13"/>
  <c r="HG159" i="13"/>
  <c r="HG99" i="13"/>
  <c r="HG124" i="13"/>
  <c r="HG182" i="13"/>
  <c r="HG63" i="13"/>
  <c r="HG129" i="13"/>
  <c r="HG131" i="13"/>
  <c r="HG76" i="13"/>
  <c r="HG183" i="13"/>
  <c r="HG177" i="13"/>
  <c r="HG115" i="13"/>
  <c r="HG128" i="13"/>
  <c r="HG161" i="13"/>
  <c r="HG167" i="13"/>
  <c r="HG83" i="13"/>
  <c r="HG179" i="13"/>
  <c r="HG154" i="13"/>
  <c r="HG105" i="13"/>
  <c r="HG119" i="13"/>
  <c r="HG136" i="13"/>
  <c r="HG10" i="13"/>
  <c r="HG111" i="13"/>
  <c r="HG73" i="13"/>
  <c r="HG134" i="13"/>
  <c r="HG78" i="13"/>
  <c r="HG149" i="13"/>
  <c r="HG197" i="13"/>
  <c r="HG200" i="13"/>
  <c r="HG164" i="13"/>
  <c r="HG148" i="13"/>
  <c r="HG67" i="13"/>
  <c r="HG133" i="13"/>
  <c r="HG126" i="13"/>
  <c r="HG85" i="13"/>
  <c r="HG169" i="13"/>
  <c r="HG196" i="13"/>
  <c r="HG160" i="13"/>
  <c r="HG125" i="13"/>
  <c r="HG72" i="13"/>
  <c r="HG141" i="13"/>
  <c r="HG106" i="13"/>
  <c r="HG142" i="13"/>
  <c r="HG15" i="13"/>
  <c r="HG93" i="13"/>
  <c r="HG192" i="13"/>
  <c r="HG156" i="13"/>
  <c r="HG145" i="13"/>
  <c r="HG60" i="13"/>
  <c r="HG139" i="13"/>
  <c r="HG92" i="13"/>
  <c r="HG146" i="13"/>
  <c r="HG97" i="13"/>
  <c r="HG168" i="13"/>
  <c r="HG107" i="13"/>
  <c r="HG188" i="13"/>
  <c r="HG138" i="13"/>
  <c r="HG170" i="13"/>
  <c r="HG135" i="13"/>
  <c r="HG151" i="13"/>
  <c r="HG29" i="13"/>
  <c r="HG65" i="13"/>
  <c r="HG157" i="13"/>
  <c r="HG184" i="13"/>
  <c r="HG201" i="13"/>
  <c r="HG175" i="13"/>
  <c r="HG91" i="13"/>
  <c r="HG155" i="13"/>
  <c r="HG158" i="13"/>
  <c r="HG45" i="13"/>
  <c r="HG68" i="13"/>
  <c r="HG104" i="13"/>
  <c r="HG33" i="13"/>
  <c r="HG109" i="13"/>
  <c r="HH192" i="13"/>
  <c r="HH97" i="13"/>
  <c r="HH85" i="13"/>
  <c r="HH62" i="13"/>
  <c r="HH44" i="13"/>
  <c r="HH36" i="13"/>
  <c r="HH32" i="13"/>
  <c r="HH26" i="13"/>
  <c r="HH18" i="13"/>
  <c r="HH14" i="13"/>
  <c r="HH197" i="13"/>
  <c r="HH84" i="13"/>
  <c r="HH70" i="13"/>
  <c r="HH40" i="13"/>
  <c r="HH6" i="13"/>
  <c r="HH3" i="13"/>
  <c r="HH10" i="13"/>
  <c r="HH164" i="13"/>
  <c r="HH109" i="13"/>
  <c r="HH83" i="13"/>
  <c r="HH39" i="13"/>
  <c r="HH35" i="13"/>
  <c r="HH30" i="13"/>
  <c r="HH25" i="13"/>
  <c r="HH17" i="13"/>
  <c r="HH53" i="13"/>
  <c r="HH161" i="13"/>
  <c r="HH93" i="13"/>
  <c r="HH69" i="13"/>
  <c r="HH50" i="13"/>
  <c r="HH43" i="13"/>
  <c r="HH9" i="13"/>
  <c r="HH20" i="13"/>
  <c r="HH22" i="13"/>
  <c r="HH203" i="13"/>
  <c r="HH107" i="13"/>
  <c r="HH67" i="13"/>
  <c r="HH29" i="13"/>
  <c r="HH105" i="13"/>
  <c r="HH78" i="13"/>
  <c r="HH66" i="13"/>
  <c r="HH49" i="13"/>
  <c r="HH38" i="13"/>
  <c r="HH34" i="13"/>
  <c r="HH24" i="13"/>
  <c r="HH12" i="13"/>
  <c r="HH135" i="13"/>
  <c r="HH103" i="13"/>
  <c r="HH91" i="13"/>
  <c r="HH77" i="13"/>
  <c r="HH55" i="13"/>
  <c r="HH42" i="13"/>
  <c r="HH28" i="13"/>
  <c r="HH33" i="13"/>
  <c r="HH15" i="13"/>
  <c r="HH45" i="13"/>
  <c r="HH132" i="13"/>
  <c r="HH125" i="13"/>
  <c r="HH46" i="13"/>
  <c r="HH19" i="13"/>
  <c r="HH8" i="13"/>
  <c r="HH4" i="13"/>
  <c r="HH72" i="13"/>
  <c r="HH76" i="13"/>
  <c r="HH47" i="13"/>
  <c r="HH169" i="13"/>
  <c r="HH150" i="13"/>
  <c r="HH129" i="13"/>
  <c r="HH74" i="13"/>
  <c r="HH63" i="13"/>
  <c r="HH41" i="13"/>
  <c r="HH27" i="13"/>
  <c r="HH11" i="13"/>
  <c r="HH57" i="13"/>
  <c r="HH61" i="13"/>
  <c r="HH144" i="13"/>
  <c r="HH172" i="13"/>
  <c r="HH166" i="13"/>
  <c r="HH96" i="13"/>
  <c r="HH180" i="13"/>
  <c r="HH136" i="13"/>
  <c r="HH120" i="13"/>
  <c r="HH118" i="13"/>
  <c r="HH137" i="13"/>
  <c r="HH147" i="13"/>
  <c r="HH168" i="13"/>
  <c r="HH98" i="13"/>
  <c r="HH108" i="13"/>
  <c r="HH56" i="13"/>
  <c r="HH151" i="13"/>
  <c r="HH82" i="13"/>
  <c r="HH173" i="13"/>
  <c r="HH122" i="13"/>
  <c r="HH142" i="13"/>
  <c r="HH31" i="13"/>
  <c r="HH153" i="13"/>
  <c r="HH81" i="13"/>
  <c r="HH149" i="13"/>
  <c r="HH193" i="13"/>
  <c r="HH156" i="13"/>
  <c r="HH60" i="13"/>
  <c r="HH177" i="13"/>
  <c r="HH54" i="13"/>
  <c r="HH124" i="13"/>
  <c r="HH71" i="13"/>
  <c r="HH88" i="13"/>
  <c r="HH154" i="13"/>
  <c r="HH133" i="13"/>
  <c r="HH58" i="13"/>
  <c r="HH110" i="13"/>
  <c r="HH200" i="13"/>
  <c r="HH201" i="13"/>
  <c r="HH65" i="13"/>
  <c r="HH163" i="13"/>
  <c r="HH171" i="13"/>
  <c r="HH37" i="13"/>
  <c r="HH178" i="13"/>
  <c r="HH100" i="13"/>
  <c r="HH175" i="13"/>
  <c r="HH202" i="13"/>
  <c r="HH59" i="13"/>
  <c r="HH115" i="13"/>
  <c r="HH5" i="13"/>
  <c r="HH89" i="13"/>
  <c r="HH176" i="13"/>
  <c r="HH106" i="13"/>
  <c r="HH68" i="13"/>
  <c r="HH126" i="13"/>
  <c r="HH189" i="13"/>
  <c r="HH73" i="13"/>
  <c r="HH134" i="13"/>
  <c r="HH167" i="13"/>
  <c r="HH75" i="13"/>
  <c r="HH116" i="13"/>
  <c r="HH184" i="13"/>
  <c r="HH179" i="13"/>
  <c r="HH198" i="13"/>
  <c r="HH64" i="13"/>
  <c r="HH119" i="13"/>
  <c r="HH95" i="13"/>
  <c r="HH181" i="13"/>
  <c r="HH196" i="13"/>
  <c r="HH104" i="13"/>
  <c r="HH90" i="13"/>
  <c r="HH112" i="13"/>
  <c r="HH185" i="13"/>
  <c r="HH194" i="13"/>
  <c r="HH121" i="13"/>
  <c r="HH141" i="13"/>
  <c r="HH13" i="13"/>
  <c r="HH101" i="13"/>
  <c r="HH188" i="13"/>
  <c r="HH80" i="13"/>
  <c r="HH139" i="13"/>
  <c r="HH7" i="13"/>
  <c r="HH146" i="13"/>
  <c r="HH143" i="13"/>
  <c r="HH94" i="13"/>
  <c r="HH162" i="13"/>
  <c r="HH199" i="13"/>
  <c r="HH190" i="13"/>
  <c r="HH123" i="13"/>
  <c r="HH145" i="13"/>
  <c r="HH16" i="13"/>
  <c r="HH51" i="13"/>
  <c r="HH131" i="13"/>
  <c r="HH87" i="13"/>
  <c r="HH92" i="13"/>
  <c r="HH111" i="13"/>
  <c r="HH102" i="13"/>
  <c r="HH165" i="13"/>
  <c r="HH127" i="13"/>
  <c r="HH195" i="13"/>
  <c r="HH186" i="13"/>
  <c r="HH79" i="13"/>
  <c r="HH130" i="13"/>
  <c r="HH148" i="13"/>
  <c r="HH21" i="13"/>
  <c r="HH113" i="13"/>
  <c r="HH23" i="13"/>
  <c r="HH152" i="13"/>
  <c r="HH183" i="13"/>
  <c r="HH191" i="13"/>
  <c r="HH182" i="13"/>
  <c r="HH86" i="13"/>
  <c r="HH138" i="13"/>
  <c r="HH155" i="13"/>
  <c r="HH117" i="13"/>
  <c r="HH99" i="13"/>
  <c r="HH52" i="13"/>
  <c r="HH114" i="13"/>
  <c r="HH140" i="13"/>
  <c r="HH187" i="13"/>
  <c r="HH174" i="13"/>
  <c r="HH158" i="13"/>
  <c r="HH128" i="13"/>
  <c r="HH159" i="13"/>
  <c r="HH157" i="13"/>
  <c r="HH170" i="13"/>
  <c r="HH48" i="13"/>
  <c r="HH160" i="13"/>
  <c r="A17" i="13"/>
  <c r="B16" i="13"/>
  <c r="AA163" i="4"/>
  <c r="S42" i="3"/>
  <c r="S41" i="3"/>
  <c r="S40" i="3"/>
  <c r="B4" i="4"/>
  <c r="A5" i="4"/>
  <c r="G217" i="3"/>
  <c r="G4" i="2"/>
  <c r="G2" i="2"/>
  <c r="F104" i="3"/>
  <c r="Q95" i="3"/>
  <c r="K251" i="3"/>
  <c r="Q99" i="3"/>
  <c r="I3" i="2"/>
  <c r="G369" i="3"/>
  <c r="G338" i="3"/>
  <c r="G364" i="3"/>
  <c r="G354" i="3"/>
  <c r="C156" i="4"/>
  <c r="B155" i="4" s="1"/>
  <c r="HH123" i="4" s="1"/>
  <c r="G359" i="3"/>
  <c r="G349" i="3"/>
  <c r="F94" i="3"/>
  <c r="F98" i="3"/>
  <c r="O94" i="3"/>
  <c r="G3" i="2"/>
  <c r="Q102" i="3"/>
  <c r="F96" i="3"/>
  <c r="O95" i="3"/>
  <c r="Q103" i="3"/>
  <c r="O100" i="3"/>
  <c r="O96" i="3"/>
  <c r="I7" i="2"/>
  <c r="G7" i="2"/>
  <c r="F99" i="3"/>
  <c r="HG11" i="4"/>
  <c r="HG9" i="4"/>
  <c r="HG25" i="4"/>
  <c r="HG43" i="4"/>
  <c r="HG13" i="4"/>
  <c r="HG17" i="4"/>
  <c r="HG47" i="4"/>
  <c r="HG62" i="4"/>
  <c r="HG21" i="4"/>
  <c r="HG36" i="4"/>
  <c r="HG48" i="4"/>
  <c r="HG63" i="4"/>
  <c r="HG4" i="4"/>
  <c r="F81" i="3" s="1"/>
  <c r="HG19" i="4"/>
  <c r="HG35" i="4"/>
  <c r="HG53" i="4"/>
  <c r="HG15" i="4"/>
  <c r="HG31" i="4"/>
  <c r="HG55" i="4"/>
  <c r="HG73" i="4"/>
  <c r="HG30" i="4"/>
  <c r="HG40" i="4"/>
  <c r="HG50" i="4"/>
  <c r="HG78" i="4"/>
  <c r="HG27" i="4"/>
  <c r="HG34" i="4"/>
  <c r="HG58" i="4"/>
  <c r="HG89" i="4"/>
  <c r="HG105" i="4"/>
  <c r="HG130" i="4"/>
  <c r="HG51" i="4"/>
  <c r="HG79" i="4"/>
  <c r="HG94" i="4"/>
  <c r="HG106" i="4"/>
  <c r="HG75" i="4"/>
  <c r="HG83" i="4"/>
  <c r="HG99" i="4"/>
  <c r="HG115" i="4"/>
  <c r="HG65" i="4"/>
  <c r="HG81" i="4"/>
  <c r="HG100" i="4"/>
  <c r="HG18" i="4"/>
  <c r="HG46" i="4"/>
  <c r="HG23" i="4"/>
  <c r="HG70" i="4"/>
  <c r="HG39" i="4"/>
  <c r="HG74" i="4"/>
  <c r="HG28" i="4"/>
  <c r="HG44" i="4"/>
  <c r="HG85" i="4"/>
  <c r="HG109" i="4"/>
  <c r="HG138" i="4"/>
  <c r="HG68" i="4"/>
  <c r="HG96" i="4"/>
  <c r="HG114" i="4"/>
  <c r="HG80" i="4"/>
  <c r="HG103" i="4"/>
  <c r="HG128" i="4"/>
  <c r="HG72" i="4"/>
  <c r="HG104" i="4"/>
  <c r="HG120" i="4"/>
  <c r="HG129" i="4"/>
  <c r="HG141" i="4"/>
  <c r="HG159" i="4"/>
  <c r="HG169" i="4"/>
  <c r="HG185" i="4"/>
  <c r="HG201" i="4"/>
  <c r="HG137" i="4"/>
  <c r="HG172" i="4"/>
  <c r="HG188" i="4"/>
  <c r="HG127" i="4"/>
  <c r="HG152" i="4"/>
  <c r="HG174" i="4"/>
  <c r="HG190" i="4"/>
  <c r="HG203" i="4"/>
  <c r="HG118" i="4"/>
  <c r="HG175" i="4"/>
  <c r="HG121" i="4"/>
  <c r="HG164" i="4"/>
  <c r="HG171" i="4"/>
  <c r="HG10" i="4"/>
  <c r="HG37" i="4"/>
  <c r="HG42" i="4"/>
  <c r="HG29" i="4"/>
  <c r="HG95" i="4"/>
  <c r="HG142" i="4"/>
  <c r="HG98" i="4"/>
  <c r="HG57" i="4"/>
  <c r="HG122" i="4"/>
  <c r="HG148" i="4"/>
  <c r="HG24" i="4"/>
  <c r="HG60" i="4"/>
  <c r="HG7" i="4"/>
  <c r="HG5" i="4"/>
  <c r="HG45" i="4"/>
  <c r="HG113" i="4"/>
  <c r="HG82" i="4"/>
  <c r="HG52" i="4"/>
  <c r="HG87" i="4"/>
  <c r="HG107" i="4"/>
  <c r="HG84" i="4"/>
  <c r="HG108" i="4"/>
  <c r="HG125" i="4"/>
  <c r="HG161" i="4"/>
  <c r="HG12" i="4"/>
  <c r="HG26" i="4"/>
  <c r="HG14" i="4"/>
  <c r="HG54" i="4"/>
  <c r="HG22" i="4"/>
  <c r="HG49" i="4"/>
  <c r="HG6" i="4"/>
  <c r="HG32" i="4"/>
  <c r="HG64" i="4"/>
  <c r="HG97" i="4"/>
  <c r="HG117" i="4"/>
  <c r="HG59" i="4"/>
  <c r="HG86" i="4"/>
  <c r="HG102" i="4"/>
  <c r="HG76" i="4"/>
  <c r="HG91" i="4"/>
  <c r="HG111" i="4"/>
  <c r="HG67" i="4"/>
  <c r="HG88" i="4"/>
  <c r="HG112" i="4"/>
  <c r="HG124" i="4"/>
  <c r="HG139" i="4"/>
  <c r="HG154" i="4"/>
  <c r="HG163" i="4"/>
  <c r="HG41" i="4"/>
  <c r="HG56" i="4"/>
  <c r="HG101" i="4"/>
  <c r="HG110" i="4"/>
  <c r="HG69" i="4"/>
  <c r="HG140" i="4"/>
  <c r="HG177" i="4"/>
  <c r="HG197" i="4"/>
  <c r="HG149" i="4"/>
  <c r="HG180" i="4"/>
  <c r="HG200" i="4"/>
  <c r="HG155" i="4"/>
  <c r="HG182" i="4"/>
  <c r="HG202" i="4"/>
  <c r="HG131" i="4"/>
  <c r="HG187" i="4"/>
  <c r="HG158" i="4"/>
  <c r="HG183" i="4"/>
  <c r="HG33" i="4"/>
  <c r="HG90" i="4"/>
  <c r="HG173" i="4"/>
  <c r="HG176" i="4"/>
  <c r="HG178" i="4"/>
  <c r="HG179" i="4"/>
  <c r="HG16" i="4"/>
  <c r="HG20" i="4"/>
  <c r="HG134" i="4"/>
  <c r="HG77" i="4"/>
  <c r="HG92" i="4"/>
  <c r="HG157" i="4"/>
  <c r="HG181" i="4"/>
  <c r="HG123" i="4"/>
  <c r="HG153" i="4"/>
  <c r="HG184" i="4"/>
  <c r="HG143" i="4"/>
  <c r="HG166" i="4"/>
  <c r="HG186" i="4"/>
  <c r="HG145" i="4"/>
  <c r="HG146" i="4"/>
  <c r="HG195" i="4"/>
  <c r="HG133" i="4"/>
  <c r="HG191" i="4"/>
  <c r="HG8" i="4"/>
  <c r="HG71" i="4"/>
  <c r="HG126" i="4"/>
  <c r="HG136" i="4"/>
  <c r="HG151" i="4"/>
  <c r="HG162" i="4"/>
  <c r="HG160" i="4"/>
  <c r="HG61" i="4"/>
  <c r="HG38" i="4"/>
  <c r="HG66" i="4"/>
  <c r="HG93" i="4"/>
  <c r="HG116" i="4"/>
  <c r="HG165" i="4"/>
  <c r="HG189" i="4"/>
  <c r="HG135" i="4"/>
  <c r="HG168" i="4"/>
  <c r="HG192" i="4"/>
  <c r="HG147" i="4"/>
  <c r="HG170" i="4"/>
  <c r="HG194" i="4"/>
  <c r="HG156" i="4"/>
  <c r="HG167" i="4"/>
  <c r="HG132" i="4"/>
  <c r="HG144" i="4"/>
  <c r="HG199" i="4"/>
  <c r="HG119" i="4"/>
  <c r="HG193" i="4"/>
  <c r="HG196" i="4"/>
  <c r="HG198" i="4"/>
  <c r="HG150" i="4"/>
  <c r="L78" i="2"/>
  <c r="Q97" i="3"/>
  <c r="O101" i="3"/>
  <c r="Q100" i="3"/>
  <c r="O97" i="3"/>
  <c r="O98" i="3"/>
  <c r="F105" i="3"/>
  <c r="I2" i="2"/>
  <c r="O103" i="3"/>
  <c r="I4" i="2"/>
  <c r="O102" i="3"/>
  <c r="F101" i="3"/>
  <c r="B37" i="5" l="1"/>
  <c r="B38" i="5" s="1"/>
  <c r="A112" i="5" s="1"/>
  <c r="C4" i="2" s="1"/>
  <c r="B37" i="14"/>
  <c r="A18" i="13"/>
  <c r="B17" i="13"/>
  <c r="AA176" i="4"/>
  <c r="S47" i="3"/>
  <c r="S46" i="3"/>
  <c r="S45" i="3"/>
  <c r="B5" i="4"/>
  <c r="A6" i="4"/>
  <c r="HH86" i="4"/>
  <c r="HH159" i="4"/>
  <c r="HH172" i="4"/>
  <c r="HH77" i="4"/>
  <c r="HH59" i="4"/>
  <c r="HH37" i="4"/>
  <c r="HH131" i="4"/>
  <c r="HH103" i="4"/>
  <c r="HH161" i="4"/>
  <c r="HH177" i="4"/>
  <c r="HH19" i="4"/>
  <c r="HH149" i="4"/>
  <c r="HH203" i="4"/>
  <c r="HH96" i="4"/>
  <c r="HH39" i="4"/>
  <c r="HH76" i="4"/>
  <c r="HH99" i="4"/>
  <c r="HH100" i="4"/>
  <c r="HH105" i="4"/>
  <c r="HH51" i="4"/>
  <c r="HH167" i="4"/>
  <c r="HH73" i="4"/>
  <c r="HH102" i="4"/>
  <c r="HH171" i="4"/>
  <c r="HH155" i="4"/>
  <c r="HH98" i="4"/>
  <c r="HH121" i="4"/>
  <c r="HH130" i="4"/>
  <c r="HH191" i="4"/>
  <c r="HH201" i="4"/>
  <c r="HH74" i="4"/>
  <c r="HH158" i="4"/>
  <c r="HH185" i="4"/>
  <c r="HH41" i="4"/>
  <c r="HH89" i="4"/>
  <c r="HH4" i="4"/>
  <c r="HH80" i="4"/>
  <c r="HH126" i="4"/>
  <c r="HH127" i="4"/>
  <c r="HH156" i="4"/>
  <c r="HH3" i="4"/>
  <c r="F218" i="3" s="1"/>
  <c r="HH165" i="4"/>
  <c r="HH50" i="4"/>
  <c r="HH13" i="4"/>
  <c r="HH116" i="4"/>
  <c r="HH18" i="4"/>
  <c r="HH14" i="4"/>
  <c r="HH187" i="4"/>
  <c r="HH189" i="4"/>
  <c r="HH197" i="4"/>
  <c r="HH146" i="4"/>
  <c r="HH90" i="4"/>
  <c r="HH60" i="4"/>
  <c r="HH181" i="4"/>
  <c r="HH35" i="4"/>
  <c r="HH140" i="4"/>
  <c r="HH190" i="4"/>
  <c r="HH27" i="4"/>
  <c r="HH139" i="4"/>
  <c r="HH141" i="4"/>
  <c r="HH45" i="4"/>
  <c r="HH174" i="4"/>
  <c r="HH124" i="4"/>
  <c r="HH10" i="4"/>
  <c r="HH101" i="4"/>
  <c r="HH145" i="4"/>
  <c r="HH108" i="4"/>
  <c r="HH36" i="4"/>
  <c r="HH61" i="4"/>
  <c r="HH69" i="4"/>
  <c r="HH26" i="4"/>
  <c r="HH52" i="4"/>
  <c r="HH12" i="4"/>
  <c r="HH196" i="4"/>
  <c r="HH9" i="4"/>
  <c r="HH48" i="4"/>
  <c r="HH151" i="4"/>
  <c r="HH183" i="4"/>
  <c r="HH72" i="4"/>
  <c r="HH47" i="4"/>
  <c r="HH113" i="4"/>
  <c r="HH202" i="4"/>
  <c r="HH15" i="4"/>
  <c r="HH70" i="4"/>
  <c r="HH65" i="4"/>
  <c r="HH32" i="4"/>
  <c r="HH200" i="4"/>
  <c r="HH150" i="4"/>
  <c r="HH154" i="4"/>
  <c r="HH29" i="4"/>
  <c r="HH112" i="4"/>
  <c r="HH93" i="4"/>
  <c r="HH43" i="4"/>
  <c r="HH164" i="4"/>
  <c r="HH66" i="4"/>
  <c r="HH56" i="4"/>
  <c r="HH152" i="4"/>
  <c r="HH136" i="4"/>
  <c r="HH17" i="4"/>
  <c r="HH180" i="4"/>
  <c r="HH170" i="4"/>
  <c r="HH111" i="4"/>
  <c r="HH195" i="4"/>
  <c r="HH85" i="4"/>
  <c r="HH125" i="4"/>
  <c r="HH168" i="4"/>
  <c r="HH142" i="4"/>
  <c r="HH81" i="4"/>
  <c r="HH199" i="4"/>
  <c r="HH107" i="4"/>
  <c r="HH22" i="4"/>
  <c r="HH186" i="4"/>
  <c r="HH143" i="4"/>
  <c r="HH87" i="4"/>
  <c r="HH114" i="4"/>
  <c r="HH78" i="4"/>
  <c r="HH64" i="4"/>
  <c r="HH122" i="4"/>
  <c r="HH84" i="4"/>
  <c r="HH8" i="4"/>
  <c r="HH53" i="4"/>
  <c r="HH109" i="4"/>
  <c r="HH198" i="4"/>
  <c r="HH192" i="4"/>
  <c r="HH62" i="4"/>
  <c r="HH82" i="4"/>
  <c r="HH21" i="4"/>
  <c r="HH106" i="4"/>
  <c r="HH163" i="4"/>
  <c r="HH34" i="4"/>
  <c r="HH40" i="4"/>
  <c r="HH31" i="4"/>
  <c r="HH58" i="4"/>
  <c r="HH157" i="4"/>
  <c r="HH104" i="4"/>
  <c r="HH6" i="4"/>
  <c r="HH147" i="4"/>
  <c r="HH55" i="4"/>
  <c r="HH179" i="4"/>
  <c r="HH118" i="4"/>
  <c r="HH25" i="4"/>
  <c r="HH173" i="4"/>
  <c r="HH71" i="4"/>
  <c r="HH11" i="4"/>
  <c r="HH94" i="4"/>
  <c r="HH160" i="4"/>
  <c r="HH46" i="4"/>
  <c r="HH97" i="4"/>
  <c r="HH193" i="4"/>
  <c r="HH110" i="4"/>
  <c r="HH63" i="4"/>
  <c r="HH117" i="4"/>
  <c r="HH153" i="4"/>
  <c r="HH148" i="4"/>
  <c r="HH133" i="4"/>
  <c r="HH92" i="4"/>
  <c r="HH5" i="4"/>
  <c r="HH83" i="4"/>
  <c r="HH54" i="4"/>
  <c r="HH175" i="4"/>
  <c r="HH49" i="4"/>
  <c r="HH24" i="4"/>
  <c r="HH169" i="4"/>
  <c r="HH120" i="4"/>
  <c r="HH16" i="4"/>
  <c r="HH166" i="4"/>
  <c r="HH7" i="4"/>
  <c r="HH115" i="4"/>
  <c r="HH134" i="4"/>
  <c r="HH23" i="4"/>
  <c r="HH75" i="4"/>
  <c r="HH162" i="4"/>
  <c r="HH20" i="4"/>
  <c r="HH128" i="4"/>
  <c r="HH30" i="4"/>
  <c r="HH176" i="4"/>
  <c r="HH67" i="4"/>
  <c r="HH132" i="4"/>
  <c r="HH38" i="4"/>
  <c r="HH42" i="4"/>
  <c r="HH95" i="4"/>
  <c r="HH57" i="4"/>
  <c r="HH182" i="4"/>
  <c r="HH137" i="4"/>
  <c r="HH28" i="4"/>
  <c r="HH194" i="4"/>
  <c r="HH33" i="4"/>
  <c r="HH184" i="4"/>
  <c r="HH91" i="4"/>
  <c r="HH68" i="4"/>
  <c r="HH144" i="4"/>
  <c r="HH79" i="4"/>
  <c r="HH44" i="4"/>
  <c r="HH138" i="4"/>
  <c r="HH129" i="4"/>
  <c r="HH178" i="4"/>
  <c r="HH188" i="4"/>
  <c r="HH88" i="4"/>
  <c r="HH119" i="4"/>
  <c r="HH135" i="4"/>
  <c r="B4" i="2"/>
  <c r="EK70" i="13" l="1"/>
  <c r="EK71" i="13" s="1"/>
  <c r="B18" i="13"/>
  <c r="A19" i="13"/>
  <c r="A7" i="4"/>
  <c r="B6" i="4"/>
  <c r="EK70" i="4"/>
  <c r="EK71" i="4" s="1"/>
  <c r="E3" i="2"/>
  <c r="E4" i="2" s="1"/>
  <c r="A20" i="13" l="1"/>
  <c r="B19" i="13"/>
  <c r="B7" i="4"/>
  <c r="A8" i="4"/>
  <c r="B20" i="13" l="1"/>
  <c r="A21" i="13"/>
  <c r="A9" i="4"/>
  <c r="B8" i="4"/>
  <c r="A22" i="13" l="1"/>
  <c r="B21" i="13"/>
  <c r="A10" i="4"/>
  <c r="B9" i="4"/>
  <c r="B22" i="13" l="1"/>
  <c r="A23" i="13"/>
  <c r="A11" i="4"/>
  <c r="B10" i="4"/>
  <c r="B23" i="13" l="1"/>
  <c r="A24" i="13"/>
  <c r="A12" i="4"/>
  <c r="B11" i="4"/>
  <c r="B24" i="13" l="1"/>
  <c r="A25" i="13"/>
  <c r="B12" i="4"/>
  <c r="A13" i="4"/>
  <c r="A26" i="13" l="1"/>
  <c r="B25" i="13"/>
  <c r="B13" i="4"/>
  <c r="A14" i="4"/>
  <c r="B26" i="13" l="1"/>
  <c r="A27" i="13"/>
  <c r="B14" i="4"/>
  <c r="A15" i="4"/>
  <c r="A28" i="13" l="1"/>
  <c r="B27" i="13"/>
  <c r="A16" i="4"/>
  <c r="B15" i="4"/>
  <c r="B28" i="13" l="1"/>
  <c r="A29" i="13"/>
  <c r="B16" i="4"/>
  <c r="A17" i="4"/>
  <c r="B29" i="13" l="1"/>
  <c r="A30" i="13"/>
  <c r="B17" i="4"/>
  <c r="A18" i="4"/>
  <c r="A31" i="13" l="1"/>
  <c r="B30" i="13"/>
  <c r="A19" i="4"/>
  <c r="B18" i="4"/>
  <c r="B31" i="13" l="1"/>
  <c r="A32" i="13"/>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B19" i="4"/>
  <c r="A20" i="4"/>
  <c r="B71" i="13" l="1"/>
  <c r="A72" i="13"/>
  <c r="A21" i="4"/>
  <c r="B20" i="4"/>
  <c r="B72" i="13" l="1"/>
  <c r="A73" i="13"/>
  <c r="A22" i="4"/>
  <c r="B21" i="4"/>
  <c r="B73" i="13" l="1"/>
  <c r="A74" i="13"/>
  <c r="A23" i="4"/>
  <c r="B22" i="4"/>
  <c r="A75" i="13" l="1"/>
  <c r="B74" i="13"/>
  <c r="B23" i="4"/>
  <c r="A24" i="4"/>
  <c r="A76" i="13" l="1"/>
  <c r="B75" i="13"/>
  <c r="B24" i="4"/>
  <c r="A25" i="4"/>
  <c r="B76" i="13" l="1"/>
  <c r="A77" i="13"/>
  <c r="A26" i="4"/>
  <c r="B25" i="4"/>
  <c r="A78" i="13" l="1"/>
  <c r="B77" i="13"/>
  <c r="A27" i="4"/>
  <c r="B26" i="4"/>
  <c r="B78" i="13" l="1"/>
  <c r="A79" i="13"/>
  <c r="A28" i="4"/>
  <c r="B27" i="4"/>
  <c r="B79" i="13" l="1"/>
  <c r="A80" i="13"/>
  <c r="B28" i="4"/>
  <c r="A29" i="4"/>
  <c r="A81" i="13" l="1"/>
  <c r="B80" i="13"/>
  <c r="B29" i="4"/>
  <c r="A30" i="4"/>
  <c r="A82" i="13" l="1"/>
  <c r="B81" i="13"/>
  <c r="B30" i="4"/>
  <c r="A31" i="4"/>
  <c r="A83" i="13" l="1"/>
  <c r="B82" i="13"/>
  <c r="A32" i="4"/>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B31" i="4"/>
  <c r="B83" i="13" l="1"/>
  <c r="A84" i="13"/>
  <c r="A72" i="4"/>
  <c r="B71" i="4"/>
  <c r="A85" i="13" l="1"/>
  <c r="B84" i="13"/>
  <c r="A73" i="4"/>
  <c r="B72" i="4"/>
  <c r="B85" i="13" l="1"/>
  <c r="A86" i="13"/>
  <c r="B73" i="4"/>
  <c r="A74" i="4"/>
  <c r="A87" i="13" l="1"/>
  <c r="B86" i="13"/>
  <c r="A75" i="4"/>
  <c r="B74" i="4"/>
  <c r="A88" i="13" l="1"/>
  <c r="B87" i="13"/>
  <c r="B75" i="4"/>
  <c r="A76" i="4"/>
  <c r="A89" i="13" l="1"/>
  <c r="B88" i="13"/>
  <c r="B76" i="4"/>
  <c r="A77" i="4"/>
  <c r="A90" i="13" l="1"/>
  <c r="B89" i="13"/>
  <c r="B77" i="4"/>
  <c r="A78" i="4"/>
  <c r="B90" i="13" l="1"/>
  <c r="A91" i="13"/>
  <c r="B78" i="4"/>
  <c r="A79" i="4"/>
  <c r="B91" i="13" l="1"/>
  <c r="A92" i="13"/>
  <c r="B79" i="4"/>
  <c r="A80" i="4"/>
  <c r="C92" i="13" l="1"/>
  <c r="B92" i="13"/>
  <c r="A93" i="13"/>
  <c r="A81" i="4"/>
  <c r="B80" i="4"/>
  <c r="B93" i="13" l="1"/>
  <c r="A94" i="13"/>
  <c r="C93" i="13"/>
  <c r="A82" i="4"/>
  <c r="B81" i="4"/>
  <c r="C94" i="13" l="1"/>
  <c r="B94" i="13"/>
  <c r="A95" i="13"/>
  <c r="B82" i="4"/>
  <c r="A83" i="4"/>
  <c r="A96" i="13" l="1"/>
  <c r="B95" i="13"/>
  <c r="C95" i="13"/>
  <c r="B83" i="4"/>
  <c r="A84" i="4"/>
  <c r="C96" i="13" l="1"/>
  <c r="B96" i="13"/>
  <c r="A97" i="13"/>
  <c r="B84" i="4"/>
  <c r="A85" i="4"/>
  <c r="C97" i="13" l="1"/>
  <c r="A98" i="13"/>
  <c r="B97" i="13"/>
  <c r="B85" i="4"/>
  <c r="A86" i="4"/>
  <c r="C98" i="13" l="1"/>
  <c r="A99" i="13"/>
  <c r="B98" i="13"/>
  <c r="A87" i="4"/>
  <c r="B86" i="4"/>
  <c r="A100" i="13" l="1"/>
  <c r="C99" i="13"/>
  <c r="B99" i="13"/>
  <c r="B87" i="4"/>
  <c r="A88" i="4"/>
  <c r="C100" i="13" l="1"/>
  <c r="A101" i="13"/>
  <c r="B100" i="13"/>
  <c r="B88" i="4"/>
  <c r="A89" i="4"/>
  <c r="A102" i="13" l="1"/>
  <c r="B101" i="13"/>
  <c r="C101" i="13"/>
  <c r="B89" i="4"/>
  <c r="A90" i="4"/>
  <c r="C102" i="13" l="1"/>
  <c r="B102" i="13"/>
  <c r="A103" i="13"/>
  <c r="A91" i="4"/>
  <c r="B90" i="4"/>
  <c r="A104" i="13" l="1"/>
  <c r="B103" i="13"/>
  <c r="C103" i="13"/>
  <c r="A92" i="4"/>
  <c r="B91" i="4"/>
  <c r="C104" i="13" l="1"/>
  <c r="B104" i="13"/>
  <c r="A105" i="13"/>
  <c r="C92" i="4"/>
  <c r="B92" i="4"/>
  <c r="A93" i="4"/>
  <c r="A106" i="13" l="1"/>
  <c r="B105" i="13"/>
  <c r="C105" i="13"/>
  <c r="B93" i="4"/>
  <c r="C93" i="4"/>
  <c r="A94" i="4"/>
  <c r="A107" i="13" l="1"/>
  <c r="C106" i="13"/>
  <c r="B106" i="13"/>
  <c r="B94" i="4"/>
  <c r="A95" i="4"/>
  <c r="C94" i="4"/>
  <c r="B107" i="13" l="1"/>
  <c r="A108" i="13"/>
  <c r="C107" i="13"/>
  <c r="B95" i="4"/>
  <c r="A96" i="4"/>
  <c r="C95" i="4"/>
  <c r="A109" i="13" l="1"/>
  <c r="C108" i="13"/>
  <c r="B108" i="13"/>
  <c r="B96" i="4"/>
  <c r="A97" i="4"/>
  <c r="C96" i="4"/>
  <c r="C109" i="13" l="1"/>
  <c r="B109" i="13"/>
  <c r="A110" i="13"/>
  <c r="A98" i="4"/>
  <c r="B97" i="4"/>
  <c r="C97" i="4"/>
  <c r="A111" i="13" l="1"/>
  <c r="C110" i="13"/>
  <c r="B110" i="13"/>
  <c r="B98" i="4"/>
  <c r="C98" i="4"/>
  <c r="A99" i="4"/>
  <c r="A112" i="13" l="1"/>
  <c r="C111" i="13"/>
  <c r="B111" i="13"/>
  <c r="A100" i="4"/>
  <c r="B99" i="4"/>
  <c r="C99" i="4"/>
  <c r="C112" i="13" l="1"/>
  <c r="A113" i="13"/>
  <c r="B112" i="13"/>
  <c r="B100" i="4"/>
  <c r="C100" i="4"/>
  <c r="A101" i="4"/>
  <c r="A114" i="13" l="1"/>
  <c r="C113" i="13"/>
  <c r="B113" i="13"/>
  <c r="B101" i="4"/>
  <c r="A102" i="4"/>
  <c r="C101" i="4"/>
  <c r="C114" i="13" l="1"/>
  <c r="B114" i="13"/>
  <c r="A115" i="13"/>
  <c r="C102" i="4"/>
  <c r="A103" i="4"/>
  <c r="B102" i="4"/>
  <c r="A116" i="13" l="1"/>
  <c r="B115" i="13"/>
  <c r="C115" i="13"/>
  <c r="B103" i="4"/>
  <c r="A104" i="4"/>
  <c r="C103" i="4"/>
  <c r="C116" i="13" l="1"/>
  <c r="B116" i="13"/>
  <c r="A117" i="13"/>
  <c r="C104" i="4"/>
  <c r="A105" i="4"/>
  <c r="B104" i="4"/>
  <c r="A118" i="13" l="1"/>
  <c r="B117" i="13"/>
  <c r="C117" i="13"/>
  <c r="C105" i="4"/>
  <c r="A106" i="4"/>
  <c r="B105" i="4"/>
  <c r="C118" i="13" l="1"/>
  <c r="B118" i="13"/>
  <c r="A119" i="13"/>
  <c r="B106" i="4"/>
  <c r="C106" i="4"/>
  <c r="A107" i="4"/>
  <c r="A120" i="13" l="1"/>
  <c r="B119" i="13"/>
  <c r="C119" i="13"/>
  <c r="B107" i="4"/>
  <c r="A108" i="4"/>
  <c r="C107" i="4"/>
  <c r="C120" i="13" l="1"/>
  <c r="B120" i="13"/>
  <c r="A121" i="13"/>
  <c r="C108" i="4"/>
  <c r="A109" i="4"/>
  <c r="B108" i="4"/>
  <c r="A122" i="13" l="1"/>
  <c r="B121" i="13"/>
  <c r="C121" i="13"/>
  <c r="A110" i="4"/>
  <c r="C109" i="4"/>
  <c r="B109" i="4"/>
  <c r="C122" i="13" l="1"/>
  <c r="B122" i="13"/>
  <c r="A123" i="13"/>
  <c r="B110" i="4"/>
  <c r="C110" i="4"/>
  <c r="A111" i="4"/>
  <c r="A124" i="13" l="1"/>
  <c r="B123" i="13"/>
  <c r="C123" i="13"/>
  <c r="A112" i="4"/>
  <c r="B111" i="4"/>
  <c r="C111" i="4"/>
  <c r="C124" i="13" l="1"/>
  <c r="B124" i="13"/>
  <c r="A125" i="13"/>
  <c r="A113" i="4"/>
  <c r="C112" i="4"/>
  <c r="B112" i="4"/>
  <c r="A126" i="13" l="1"/>
  <c r="B125" i="13"/>
  <c r="C125" i="13"/>
  <c r="B113" i="4"/>
  <c r="C113" i="4"/>
  <c r="A114" i="4"/>
  <c r="A127" i="13" l="1"/>
  <c r="C126" i="13"/>
  <c r="B126" i="13"/>
  <c r="B114" i="4"/>
  <c r="A115" i="4"/>
  <c r="C114" i="4"/>
  <c r="C127" i="13" l="1"/>
  <c r="B127" i="13"/>
  <c r="A128" i="13"/>
  <c r="A116" i="4"/>
  <c r="B115" i="4"/>
  <c r="C115" i="4"/>
  <c r="A129" i="13" l="1"/>
  <c r="C128" i="13"/>
  <c r="B128" i="13"/>
  <c r="A117" i="4"/>
  <c r="C116" i="4"/>
  <c r="B116" i="4"/>
  <c r="C129" i="13" l="1"/>
  <c r="B129" i="13"/>
  <c r="A130" i="13"/>
  <c r="A118" i="4"/>
  <c r="C117" i="4"/>
  <c r="B117" i="4"/>
  <c r="A131" i="13" l="1"/>
  <c r="C130" i="13"/>
  <c r="B130" i="13"/>
  <c r="C118" i="4"/>
  <c r="B118" i="4"/>
  <c r="A119" i="4"/>
  <c r="C131" i="13" l="1"/>
  <c r="A132" i="13"/>
  <c r="B131" i="13"/>
  <c r="C119" i="4"/>
  <c r="B119" i="4"/>
  <c r="A120" i="4"/>
  <c r="B132" i="13" l="1"/>
  <c r="A133" i="13"/>
  <c r="C132" i="13"/>
  <c r="C120" i="4"/>
  <c r="A121" i="4"/>
  <c r="B120" i="4"/>
  <c r="A134" i="13" l="1"/>
  <c r="C133" i="13"/>
  <c r="B133" i="13"/>
  <c r="B121" i="4"/>
  <c r="A122" i="4"/>
  <c r="C121" i="4"/>
  <c r="C134" i="13" l="1"/>
  <c r="B134" i="13"/>
  <c r="A135" i="13"/>
  <c r="A123" i="4"/>
  <c r="B122" i="4"/>
  <c r="C122" i="4"/>
  <c r="A136" i="13" l="1"/>
  <c r="B135" i="13"/>
  <c r="C135" i="13"/>
  <c r="B123" i="4"/>
  <c r="A124" i="4"/>
  <c r="C123" i="4"/>
  <c r="B136" i="13" l="1"/>
  <c r="A137" i="13"/>
  <c r="C136" i="13"/>
  <c r="C124" i="4"/>
  <c r="B124" i="4"/>
  <c r="A125" i="4"/>
  <c r="C137" i="13" l="1"/>
  <c r="B137" i="13"/>
  <c r="A138" i="13"/>
  <c r="C125" i="4"/>
  <c r="B125" i="4"/>
  <c r="A126" i="4"/>
  <c r="A139" i="13" l="1"/>
  <c r="B138" i="13"/>
  <c r="C138" i="13"/>
  <c r="A127" i="4"/>
  <c r="B126" i="4"/>
  <c r="C126" i="4"/>
  <c r="A140" i="13" l="1"/>
  <c r="C139" i="13"/>
  <c r="B139" i="13"/>
  <c r="B127" i="4"/>
  <c r="C127" i="4"/>
  <c r="A128" i="4"/>
  <c r="A141" i="13" l="1"/>
  <c r="C140" i="13"/>
  <c r="B140" i="13"/>
  <c r="B128" i="4"/>
  <c r="A129" i="4"/>
  <c r="C128" i="4"/>
  <c r="A142" i="13" l="1"/>
  <c r="C141" i="13"/>
  <c r="B141" i="13"/>
  <c r="B129" i="4"/>
  <c r="C129" i="4"/>
  <c r="A130" i="4"/>
  <c r="B142" i="13" l="1"/>
  <c r="C142" i="13"/>
  <c r="A143" i="13"/>
  <c r="A131" i="4"/>
  <c r="B130" i="4"/>
  <c r="C130" i="4"/>
  <c r="C143" i="13" l="1"/>
  <c r="B143" i="13"/>
  <c r="A144" i="13"/>
  <c r="A132" i="4"/>
  <c r="C131" i="4"/>
  <c r="B131" i="4"/>
  <c r="A145" i="13" l="1"/>
  <c r="C144" i="13"/>
  <c r="B144" i="13"/>
  <c r="C132" i="4"/>
  <c r="B132" i="4"/>
  <c r="A133" i="4"/>
  <c r="A146" i="13" l="1"/>
  <c r="C145" i="13"/>
  <c r="B145" i="13"/>
  <c r="C133" i="4"/>
  <c r="B133" i="4"/>
  <c r="A134" i="4"/>
  <c r="B146" i="13" l="1"/>
  <c r="C146" i="13"/>
  <c r="A147" i="13"/>
  <c r="B134" i="4"/>
  <c r="A135" i="4"/>
  <c r="C134" i="4"/>
  <c r="C147" i="13" l="1"/>
  <c r="B147" i="13"/>
  <c r="A148" i="13"/>
  <c r="C135" i="4"/>
  <c r="B135" i="4"/>
  <c r="A136" i="4"/>
  <c r="A149" i="13" l="1"/>
  <c r="C148" i="13"/>
  <c r="B148" i="13"/>
  <c r="C136" i="4"/>
  <c r="A137" i="4"/>
  <c r="B136" i="4"/>
  <c r="C149" i="13" l="1"/>
  <c r="B149" i="13"/>
  <c r="A150" i="13"/>
  <c r="C137" i="4"/>
  <c r="B137" i="4"/>
  <c r="A138" i="4"/>
  <c r="A151" i="13" l="1"/>
  <c r="C150" i="13"/>
  <c r="B150" i="13"/>
  <c r="C138" i="4"/>
  <c r="B138" i="4"/>
  <c r="A139" i="4"/>
  <c r="C151" i="13" l="1"/>
  <c r="B151" i="13"/>
  <c r="C139" i="4"/>
  <c r="B139" i="4"/>
  <c r="A140" i="4"/>
  <c r="C140" i="4" l="1"/>
  <c r="B140" i="4"/>
  <c r="A141" i="4"/>
  <c r="C141" i="4" l="1"/>
  <c r="A142" i="4"/>
  <c r="B141" i="4"/>
  <c r="C142" i="4" l="1"/>
  <c r="B142" i="4"/>
  <c r="A143" i="4"/>
  <c r="A144" i="4" l="1"/>
  <c r="C143" i="4"/>
  <c r="B143" i="4"/>
  <c r="C144" i="4" l="1"/>
  <c r="A145" i="4"/>
  <c r="B144" i="4"/>
  <c r="C145" i="4" l="1"/>
  <c r="B145" i="4"/>
  <c r="A146" i="4"/>
  <c r="C146" i="4" l="1"/>
  <c r="A147" i="4"/>
  <c r="B146" i="4"/>
  <c r="A148" i="4" l="1"/>
  <c r="C147" i="4"/>
  <c r="B147" i="4"/>
  <c r="B148" i="4" l="1"/>
  <c r="A149" i="4"/>
  <c r="C148" i="4"/>
  <c r="F19" i="2"/>
  <c r="I19" i="2" s="1"/>
  <c r="J20" i="2"/>
  <c r="F22" i="2"/>
  <c r="I22" i="2" s="1"/>
  <c r="F122" i="13" s="1"/>
  <c r="J13" i="2"/>
  <c r="J18" i="2"/>
  <c r="J16" i="2"/>
  <c r="F18" i="2"/>
  <c r="I18" i="2" s="1"/>
  <c r="F21" i="2"/>
  <c r="I21" i="2" s="1"/>
  <c r="J19" i="2"/>
  <c r="F16" i="2"/>
  <c r="I16" i="2" s="1"/>
  <c r="F20" i="2"/>
  <c r="I20" i="2" s="1"/>
  <c r="F123" i="13" s="1"/>
  <c r="F13" i="2"/>
  <c r="I13" i="2" s="1"/>
  <c r="J22" i="2"/>
  <c r="F14" i="2"/>
  <c r="I14" i="2" s="1"/>
  <c r="F15" i="2"/>
  <c r="I15" i="2" s="1"/>
  <c r="E30" i="2" s="1"/>
  <c r="J14" i="2"/>
  <c r="J21" i="2"/>
  <c r="J15" i="2"/>
  <c r="F17" i="2"/>
  <c r="I17" i="2" s="1"/>
  <c r="J17" i="2"/>
  <c r="H161" i="3" l="1"/>
  <c r="F121" i="13"/>
  <c r="F124" i="13"/>
  <c r="EK82" i="13"/>
  <c r="H155" i="3"/>
  <c r="H148" i="3"/>
  <c r="B149" i="4"/>
  <c r="A150" i="4"/>
  <c r="C149" i="4"/>
  <c r="E27" i="2"/>
  <c r="E26" i="2"/>
  <c r="I26" i="2" s="1"/>
  <c r="E25" i="2"/>
  <c r="I25" i="2" s="1"/>
  <c r="E29" i="2"/>
  <c r="I29" i="2" s="1"/>
  <c r="E28" i="2"/>
  <c r="I28" i="2" s="1"/>
  <c r="H203" i="3"/>
  <c r="H202" i="3"/>
  <c r="H70" i="3"/>
  <c r="H198" i="3"/>
  <c r="H197" i="3"/>
  <c r="H216" i="3"/>
  <c r="H75" i="3"/>
  <c r="H259" i="3"/>
  <c r="H71" i="3"/>
  <c r="H190" i="3"/>
  <c r="H274" i="3"/>
  <c r="H73" i="3"/>
  <c r="H88" i="3"/>
  <c r="H270" i="3"/>
  <c r="H86" i="3"/>
  <c r="H207" i="3"/>
  <c r="H272" i="3"/>
  <c r="H214" i="3"/>
  <c r="H141" i="3"/>
  <c r="H72" i="3"/>
  <c r="F123" i="4"/>
  <c r="H228" i="3"/>
  <c r="H22" i="3"/>
  <c r="H230" i="3"/>
  <c r="H10" i="3"/>
  <c r="K10" i="3" s="1"/>
  <c r="H74" i="3"/>
  <c r="H212" i="3"/>
  <c r="H78" i="3"/>
  <c r="H268" i="3"/>
  <c r="H213" i="3"/>
  <c r="H136" i="3"/>
  <c r="K136" i="3" s="1"/>
  <c r="H226" i="3"/>
  <c r="H215" i="3"/>
  <c r="H151" i="3"/>
  <c r="H168" i="3"/>
  <c r="H170" i="3"/>
  <c r="H173" i="3"/>
  <c r="H108" i="3"/>
  <c r="H152" i="3"/>
  <c r="H14" i="3"/>
  <c r="H63" i="3"/>
  <c r="H164" i="3"/>
  <c r="H165" i="3"/>
  <c r="H195" i="3"/>
  <c r="H159" i="3"/>
  <c r="H171" i="3"/>
  <c r="H166" i="3"/>
  <c r="H163" i="3"/>
  <c r="H200" i="3"/>
  <c r="H147" i="3"/>
  <c r="H242" i="3"/>
  <c r="H154" i="3"/>
  <c r="H172" i="3"/>
  <c r="H156" i="3"/>
  <c r="H19" i="3"/>
  <c r="H18" i="3"/>
  <c r="H208" i="3"/>
  <c r="H17" i="3"/>
  <c r="H169" i="3"/>
  <c r="H158" i="3"/>
  <c r="H160" i="3"/>
  <c r="H101" i="3"/>
  <c r="H84" i="3"/>
  <c r="H103" i="3"/>
  <c r="H199" i="3"/>
  <c r="H310" i="3"/>
  <c r="H104" i="3"/>
  <c r="H149" i="3"/>
  <c r="H95" i="3"/>
  <c r="H224" i="3"/>
  <c r="H240" i="3"/>
  <c r="H57" i="3"/>
  <c r="H273" i="3"/>
  <c r="H96" i="3"/>
  <c r="H257" i="3"/>
  <c r="H114" i="3"/>
  <c r="H303" i="3"/>
  <c r="H21" i="3"/>
  <c r="K21" i="3" s="1"/>
  <c r="H79" i="3"/>
  <c r="H283" i="3"/>
  <c r="H105" i="3"/>
  <c r="H150" i="3"/>
  <c r="H94" i="3"/>
  <c r="H97" i="3"/>
  <c r="H290" i="3"/>
  <c r="H291" i="3"/>
  <c r="H98" i="3"/>
  <c r="F121" i="4"/>
  <c r="H60" i="3"/>
  <c r="H292" i="3"/>
  <c r="H196" i="3"/>
  <c r="H189" i="3"/>
  <c r="H302" i="3"/>
  <c r="H99" i="3"/>
  <c r="H102" i="3"/>
  <c r="H100" i="3"/>
  <c r="H193" i="3"/>
  <c r="H4" i="3"/>
  <c r="H8" i="3"/>
  <c r="K8" i="3" s="1"/>
  <c r="H317" i="3"/>
  <c r="H30" i="3"/>
  <c r="H174" i="3"/>
  <c r="K174" i="3" s="1"/>
  <c r="H331" i="3"/>
  <c r="H35" i="3"/>
  <c r="H182" i="3"/>
  <c r="H314" i="3"/>
  <c r="H31" i="3"/>
  <c r="H313" i="3"/>
  <c r="H322" i="3"/>
  <c r="H26" i="3"/>
  <c r="K26" i="3" s="1"/>
  <c r="H320" i="3"/>
  <c r="H175" i="3"/>
  <c r="H179" i="3"/>
  <c r="H332" i="3"/>
  <c r="H178" i="3"/>
  <c r="H232" i="3"/>
  <c r="H321" i="3"/>
  <c r="H9" i="3"/>
  <c r="H36" i="3"/>
  <c r="H245" i="3"/>
  <c r="K245" i="3" s="1"/>
  <c r="H311" i="3"/>
  <c r="K311" i="3" s="1"/>
  <c r="H318" i="3"/>
  <c r="H330" i="3"/>
  <c r="H315" i="3"/>
  <c r="K315" i="3" s="1"/>
  <c r="H316" i="3"/>
  <c r="H5" i="3"/>
  <c r="K5" i="3" s="1"/>
  <c r="H312" i="3"/>
  <c r="H29" i="3"/>
  <c r="H323" i="3"/>
  <c r="K323" i="3" s="1"/>
  <c r="H181" i="3"/>
  <c r="K181" i="3" s="1"/>
  <c r="H319" i="3"/>
  <c r="K319" i="3" s="1"/>
  <c r="H235" i="3"/>
  <c r="H42" i="3"/>
  <c r="H3" i="3"/>
  <c r="K3" i="3" s="1"/>
  <c r="K4" i="3" s="1"/>
  <c r="H48" i="3"/>
  <c r="H333" i="3"/>
  <c r="K333" i="3" s="1"/>
  <c r="H329" i="3"/>
  <c r="K329" i="3" s="1"/>
  <c r="L31" i="2"/>
  <c r="L32" i="2" s="1"/>
  <c r="H261" i="3"/>
  <c r="H142" i="3"/>
  <c r="H281" i="3"/>
  <c r="K281" i="3" s="1"/>
  <c r="H222" i="3"/>
  <c r="K222" i="3" s="1"/>
  <c r="H297" i="3"/>
  <c r="H223" i="3"/>
  <c r="H304" i="3"/>
  <c r="H298" i="3"/>
  <c r="H307" i="3"/>
  <c r="H220" i="3"/>
  <c r="H263" i="3"/>
  <c r="H260" i="3"/>
  <c r="H299" i="3"/>
  <c r="H300" i="3"/>
  <c r="H305" i="3"/>
  <c r="H271" i="3"/>
  <c r="K271" i="3" s="1"/>
  <c r="H309" i="3"/>
  <c r="H24" i="3"/>
  <c r="H219" i="3"/>
  <c r="K219" i="3" s="1"/>
  <c r="H296" i="3"/>
  <c r="H294" i="3"/>
  <c r="H328" i="3"/>
  <c r="H301" i="3"/>
  <c r="H93" i="3"/>
  <c r="K93" i="3" s="1"/>
  <c r="H262" i="3"/>
  <c r="H146" i="3"/>
  <c r="K146" i="3" s="1"/>
  <c r="K148" i="3" s="1"/>
  <c r="H157" i="3"/>
  <c r="K157" i="3" s="1"/>
  <c r="H167" i="3"/>
  <c r="K167" i="3" s="1"/>
  <c r="H162" i="3"/>
  <c r="K162" i="3" s="1"/>
  <c r="J23" i="2"/>
  <c r="J24" i="2" s="1"/>
  <c r="H306" i="3"/>
  <c r="K306" i="3" s="1"/>
  <c r="H255" i="3"/>
  <c r="H143" i="3"/>
  <c r="H117" i="3"/>
  <c r="H276" i="3"/>
  <c r="H288" i="3"/>
  <c r="F122" i="4"/>
  <c r="H76" i="3"/>
  <c r="H119" i="3"/>
  <c r="H282" i="3"/>
  <c r="H293" i="3"/>
  <c r="K293" i="3" s="1"/>
  <c r="H124" i="3"/>
  <c r="H139" i="3"/>
  <c r="H138" i="3"/>
  <c r="H56" i="3"/>
  <c r="H77" i="3"/>
  <c r="H144" i="3"/>
  <c r="H201" i="3"/>
  <c r="H153" i="3"/>
  <c r="H61" i="3"/>
  <c r="H110" i="3"/>
  <c r="H46" i="3"/>
  <c r="H192" i="3"/>
  <c r="H125" i="3"/>
  <c r="H206" i="3"/>
  <c r="K206" i="3" s="1"/>
  <c r="H123" i="3"/>
  <c r="H128" i="3"/>
  <c r="H59" i="3"/>
  <c r="H209" i="3"/>
  <c r="K209" i="3" s="1"/>
  <c r="H256" i="3"/>
  <c r="K256" i="3" s="1"/>
  <c r="H69" i="3"/>
  <c r="H225" i="3"/>
  <c r="H113" i="3"/>
  <c r="H118" i="3"/>
  <c r="H227" i="3"/>
  <c r="H286" i="3"/>
  <c r="H126" i="3"/>
  <c r="H204" i="3"/>
  <c r="H45" i="3"/>
  <c r="H254" i="3"/>
  <c r="H137" i="3"/>
  <c r="H120" i="3"/>
  <c r="H127" i="3"/>
  <c r="H267" i="3"/>
  <c r="H58" i="3"/>
  <c r="K58" i="3" s="1"/>
  <c r="H289" i="3"/>
  <c r="H284" i="3"/>
  <c r="H68" i="3"/>
  <c r="K68" i="3" s="1"/>
  <c r="H122" i="3"/>
  <c r="H221" i="3"/>
  <c r="H265" i="3"/>
  <c r="H176" i="3"/>
  <c r="H184" i="3"/>
  <c r="H38" i="3"/>
  <c r="H241" i="3"/>
  <c r="H285" i="3"/>
  <c r="H278" i="3"/>
  <c r="H243" i="3"/>
  <c r="H65" i="3"/>
  <c r="H83" i="3"/>
  <c r="H64" i="3"/>
  <c r="I30" i="2"/>
  <c r="H244" i="3"/>
  <c r="H43" i="3"/>
  <c r="H87" i="3"/>
  <c r="H177" i="3"/>
  <c r="H183" i="3"/>
  <c r="H229" i="3"/>
  <c r="K229" i="3" s="1"/>
  <c r="H53" i="3"/>
  <c r="H115" i="3"/>
  <c r="H236" i="3"/>
  <c r="H91" i="3"/>
  <c r="H11" i="3"/>
  <c r="H234" i="3"/>
  <c r="H249" i="3"/>
  <c r="H121" i="3"/>
  <c r="H264" i="3"/>
  <c r="H85" i="3"/>
  <c r="H275" i="3"/>
  <c r="H194" i="3"/>
  <c r="K194" i="3" s="1"/>
  <c r="H90" i="3"/>
  <c r="H116" i="3"/>
  <c r="H140" i="3"/>
  <c r="H211" i="3"/>
  <c r="H145" i="3"/>
  <c r="H106" i="3"/>
  <c r="H239" i="3"/>
  <c r="H20" i="3"/>
  <c r="H269" i="3"/>
  <c r="H191" i="3"/>
  <c r="H238" i="3"/>
  <c r="H210" i="3"/>
  <c r="H111" i="3"/>
  <c r="H13" i="3"/>
  <c r="H237" i="3"/>
  <c r="H92" i="3"/>
  <c r="H187" i="3"/>
  <c r="H258" i="3"/>
  <c r="H55" i="3"/>
  <c r="K55" i="3" s="1"/>
  <c r="H112" i="3"/>
  <c r="H62" i="3"/>
  <c r="H66" i="3"/>
  <c r="H107" i="3"/>
  <c r="H32" i="3"/>
  <c r="K32" i="3" s="1"/>
  <c r="H133" i="3"/>
  <c r="H185" i="3"/>
  <c r="H248" i="3"/>
  <c r="H246" i="3"/>
  <c r="H27" i="3"/>
  <c r="H131" i="3"/>
  <c r="H335" i="3"/>
  <c r="H40" i="3"/>
  <c r="H188" i="3"/>
  <c r="K188" i="3" s="1"/>
  <c r="H295" i="3"/>
  <c r="H109" i="3"/>
  <c r="K109" i="3" s="1"/>
  <c r="H51" i="3"/>
  <c r="H327" i="3"/>
  <c r="K327" i="3" s="1"/>
  <c r="H16" i="3"/>
  <c r="H132" i="3"/>
  <c r="H89" i="3"/>
  <c r="H334" i="3"/>
  <c r="H134" i="3"/>
  <c r="H130" i="3"/>
  <c r="H7" i="3"/>
  <c r="H336" i="3"/>
  <c r="H129" i="3"/>
  <c r="K129" i="3" s="1"/>
  <c r="H15" i="3"/>
  <c r="H324" i="3"/>
  <c r="H82" i="3"/>
  <c r="K82" i="3" s="1"/>
  <c r="H326" i="3"/>
  <c r="H47" i="3"/>
  <c r="H253" i="3"/>
  <c r="K253" i="3" s="1"/>
  <c r="H54" i="3"/>
  <c r="H186" i="3"/>
  <c r="H231" i="3"/>
  <c r="H279" i="3"/>
  <c r="H44" i="3"/>
  <c r="H233" i="3"/>
  <c r="H287" i="3"/>
  <c r="H247" i="3"/>
  <c r="H308" i="3"/>
  <c r="H266" i="3"/>
  <c r="K266" i="3" s="1"/>
  <c r="H25" i="3"/>
  <c r="H28" i="3"/>
  <c r="H325" i="3"/>
  <c r="H49" i="3"/>
  <c r="H6" i="3"/>
  <c r="H39" i="3"/>
  <c r="K39" i="3" s="1"/>
  <c r="K40" i="3" s="1"/>
  <c r="H23" i="3"/>
  <c r="H12" i="3"/>
  <c r="G35" i="2"/>
  <c r="H34" i="3"/>
  <c r="H33" i="2"/>
  <c r="H41" i="3"/>
  <c r="H52" i="3"/>
  <c r="H50" i="3"/>
  <c r="H80" i="3"/>
  <c r="K80" i="3" s="1"/>
  <c r="G33" i="2"/>
  <c r="A35" i="2"/>
  <c r="H277" i="3"/>
  <c r="H33" i="3"/>
  <c r="H81" i="3"/>
  <c r="H37" i="3"/>
  <c r="H180" i="3"/>
  <c r="L42" i="2"/>
  <c r="L36" i="2"/>
  <c r="L47" i="2" s="1"/>
  <c r="D46" i="2" s="1"/>
  <c r="F41" i="2"/>
  <c r="EK82" i="4"/>
  <c r="P49" i="2"/>
  <c r="K138" i="3" l="1"/>
  <c r="DT97" i="13"/>
  <c r="DI97" i="13"/>
  <c r="F125" i="13"/>
  <c r="F126" i="13"/>
  <c r="F127" i="13"/>
  <c r="K287" i="3"/>
  <c r="K155" i="3"/>
  <c r="K28" i="3"/>
  <c r="K142" i="3"/>
  <c r="A151" i="4"/>
  <c r="C150" i="4"/>
  <c r="B150" i="4"/>
  <c r="F124" i="4"/>
  <c r="K12" i="3"/>
  <c r="K16" i="3"/>
  <c r="K13" i="3"/>
  <c r="K15" i="3"/>
  <c r="K25" i="3"/>
  <c r="K335" i="3"/>
  <c r="II19" i="13" s="1"/>
  <c r="K140" i="3"/>
  <c r="K143" i="3"/>
  <c r="K124" i="3"/>
  <c r="K308" i="3"/>
  <c r="K27" i="3"/>
  <c r="K145" i="3"/>
  <c r="K144" i="3"/>
  <c r="K139" i="3"/>
  <c r="K165" i="3"/>
  <c r="K23" i="3"/>
  <c r="K336" i="3"/>
  <c r="II20" i="13" s="1"/>
  <c r="K334" i="3"/>
  <c r="II18" i="13" s="1"/>
  <c r="K168" i="3"/>
  <c r="K203" i="3"/>
  <c r="K202" i="3"/>
  <c r="K198" i="3"/>
  <c r="K197" i="3"/>
  <c r="K20" i="3"/>
  <c r="K11" i="3"/>
  <c r="K70" i="3"/>
  <c r="K295" i="3"/>
  <c r="K221" i="3"/>
  <c r="K34" i="3"/>
  <c r="K37" i="3"/>
  <c r="K233" i="3"/>
  <c r="K247" i="3"/>
  <c r="K264" i="3"/>
  <c r="K64" i="3"/>
  <c r="K277" i="3"/>
  <c r="K248" i="3"/>
  <c r="K238" i="3"/>
  <c r="K275" i="3"/>
  <c r="K183" i="3"/>
  <c r="II37" i="13" s="1"/>
  <c r="K225" i="3"/>
  <c r="K184" i="3"/>
  <c r="II38" i="13" s="1"/>
  <c r="K279" i="3"/>
  <c r="K231" i="3"/>
  <c r="K57" i="3"/>
  <c r="K249" i="3"/>
  <c r="K234" i="3"/>
  <c r="K108" i="3"/>
  <c r="K186" i="3"/>
  <c r="II36" i="13" s="1"/>
  <c r="K187" i="3"/>
  <c r="K246" i="3"/>
  <c r="K78" i="3"/>
  <c r="K22" i="3"/>
  <c r="K185" i="3"/>
  <c r="II35" i="13" s="1"/>
  <c r="K24" i="3"/>
  <c r="K321" i="3"/>
  <c r="II9" i="13" s="1"/>
  <c r="K182" i="3"/>
  <c r="K173" i="3"/>
  <c r="K169" i="3"/>
  <c r="K130" i="3"/>
  <c r="II21" i="13" s="1"/>
  <c r="K276" i="3"/>
  <c r="K131" i="3"/>
  <c r="II22" i="13" s="1"/>
  <c r="K227" i="3"/>
  <c r="K278" i="3"/>
  <c r="K153" i="3"/>
  <c r="K161" i="3"/>
  <c r="K265" i="3"/>
  <c r="K262" i="3"/>
  <c r="K196" i="3"/>
  <c r="K283" i="3"/>
  <c r="K95" i="3"/>
  <c r="K17" i="3"/>
  <c r="K121" i="3"/>
  <c r="K258" i="3"/>
  <c r="K117" i="3"/>
  <c r="K260" i="3"/>
  <c r="K7" i="3"/>
  <c r="K332" i="3"/>
  <c r="II17" i="13" s="1"/>
  <c r="K54" i="3"/>
  <c r="K122" i="3"/>
  <c r="K123" i="3"/>
  <c r="K263" i="3"/>
  <c r="K316" i="3"/>
  <c r="II5" i="13" s="1"/>
  <c r="K18" i="3"/>
  <c r="K211" i="3"/>
  <c r="K19" i="3"/>
  <c r="K325" i="3"/>
  <c r="II12" i="13" s="1"/>
  <c r="K132" i="3"/>
  <c r="II23" i="13" s="1"/>
  <c r="K284" i="3"/>
  <c r="K286" i="3"/>
  <c r="K320" i="3"/>
  <c r="II8" i="13" s="1"/>
  <c r="K243" i="3"/>
  <c r="K289" i="3"/>
  <c r="K192" i="3"/>
  <c r="K318" i="3"/>
  <c r="II7" i="13" s="1"/>
  <c r="K112" i="3"/>
  <c r="K133" i="3"/>
  <c r="K111" i="3"/>
  <c r="K61" i="3"/>
  <c r="K324" i="3"/>
  <c r="II11" i="13" s="1"/>
  <c r="K201" i="3"/>
  <c r="K241" i="3"/>
  <c r="K285" i="3"/>
  <c r="K282" i="3"/>
  <c r="K223" i="3"/>
  <c r="K52" i="3"/>
  <c r="K89" i="3"/>
  <c r="K92" i="3"/>
  <c r="K91" i="3"/>
  <c r="K83" i="3"/>
  <c r="K126" i="3"/>
  <c r="K207" i="3"/>
  <c r="K301" i="3"/>
  <c r="K179" i="3"/>
  <c r="II43" i="13" s="1"/>
  <c r="K30" i="3"/>
  <c r="K292" i="3"/>
  <c r="K79" i="3"/>
  <c r="K149" i="3"/>
  <c r="K166" i="3"/>
  <c r="K170" i="3"/>
  <c r="K212" i="3"/>
  <c r="K86" i="3"/>
  <c r="K47" i="3"/>
  <c r="K237" i="3"/>
  <c r="K236" i="3"/>
  <c r="K65" i="3"/>
  <c r="K125" i="3"/>
  <c r="K328" i="3"/>
  <c r="II14" i="13" s="1"/>
  <c r="K220" i="3"/>
  <c r="K175" i="3"/>
  <c r="K317" i="3"/>
  <c r="II6" i="13" s="1"/>
  <c r="K60" i="3"/>
  <c r="K104" i="3"/>
  <c r="K208" i="3"/>
  <c r="K171" i="3"/>
  <c r="K74" i="3"/>
  <c r="K270" i="3"/>
  <c r="K180" i="3"/>
  <c r="K41" i="3"/>
  <c r="K116" i="3"/>
  <c r="K115" i="3"/>
  <c r="K255" i="3"/>
  <c r="K294" i="3"/>
  <c r="K307" i="3"/>
  <c r="K48" i="3"/>
  <c r="K330" i="3"/>
  <c r="II15" i="13" s="1"/>
  <c r="F125" i="4"/>
  <c r="F127" i="4"/>
  <c r="F126" i="4"/>
  <c r="K310" i="3"/>
  <c r="K159" i="3"/>
  <c r="K88" i="3"/>
  <c r="K90" i="3"/>
  <c r="II32" i="13" s="1"/>
  <c r="K53" i="3"/>
  <c r="K118" i="3"/>
  <c r="K46" i="3"/>
  <c r="K296" i="3"/>
  <c r="K298" i="3"/>
  <c r="DT97" i="4"/>
  <c r="DI97" i="4"/>
  <c r="K98" i="3"/>
  <c r="K303" i="3"/>
  <c r="K199" i="3"/>
  <c r="K195" i="3"/>
  <c r="K151" i="3"/>
  <c r="K230" i="3"/>
  <c r="K73" i="3"/>
  <c r="K267" i="3"/>
  <c r="K113" i="3"/>
  <c r="K110" i="3"/>
  <c r="K304" i="3"/>
  <c r="K42" i="3"/>
  <c r="K193" i="3"/>
  <c r="K291" i="3"/>
  <c r="K114" i="3"/>
  <c r="K103" i="3"/>
  <c r="K156" i="3"/>
  <c r="K274" i="3"/>
  <c r="K127" i="3"/>
  <c r="K119" i="3"/>
  <c r="K235" i="3"/>
  <c r="K313" i="3"/>
  <c r="II3" i="13" s="1"/>
  <c r="K100" i="3"/>
  <c r="K290" i="3"/>
  <c r="K257" i="3"/>
  <c r="K84" i="3"/>
  <c r="K172" i="3"/>
  <c r="K164" i="3"/>
  <c r="K215" i="3"/>
  <c r="K228" i="3"/>
  <c r="K190" i="3"/>
  <c r="F42" i="2"/>
  <c r="F44" i="2"/>
  <c r="F45" i="2"/>
  <c r="F43" i="2"/>
  <c r="K134" i="3"/>
  <c r="K66" i="3"/>
  <c r="K191" i="3"/>
  <c r="K85" i="3"/>
  <c r="K177" i="3"/>
  <c r="II41" i="13" s="1"/>
  <c r="K38" i="3"/>
  <c r="K120" i="3"/>
  <c r="K69" i="3"/>
  <c r="K309" i="3"/>
  <c r="K297" i="3"/>
  <c r="K322" i="3"/>
  <c r="II10" i="13" s="1"/>
  <c r="K36" i="3"/>
  <c r="K31" i="3"/>
  <c r="K102" i="3"/>
  <c r="K97" i="3"/>
  <c r="K96" i="3"/>
  <c r="K154" i="3"/>
  <c r="K63" i="3"/>
  <c r="K226" i="3"/>
  <c r="K71" i="3"/>
  <c r="K51" i="3"/>
  <c r="K33" i="3"/>
  <c r="K107" i="3"/>
  <c r="D35" i="2"/>
  <c r="H35" i="2"/>
  <c r="E35" i="2"/>
  <c r="F35" i="2"/>
  <c r="K44" i="3"/>
  <c r="K62" i="3"/>
  <c r="K269" i="3"/>
  <c r="K87" i="3"/>
  <c r="K76" i="3"/>
  <c r="K9" i="3"/>
  <c r="K314" i="3"/>
  <c r="II4" i="13" s="1"/>
  <c r="K99" i="3"/>
  <c r="K94" i="3"/>
  <c r="K273" i="3"/>
  <c r="K101" i="3"/>
  <c r="K242" i="3"/>
  <c r="K72" i="3"/>
  <c r="K259" i="3"/>
  <c r="I39" i="2"/>
  <c r="H39" i="2" s="1"/>
  <c r="G126" i="2"/>
  <c r="K43" i="3"/>
  <c r="K176" i="3"/>
  <c r="II40" i="13" s="1"/>
  <c r="K254" i="3"/>
  <c r="K210" i="3"/>
  <c r="K305" i="3"/>
  <c r="K326" i="3"/>
  <c r="II13" i="13" s="1"/>
  <c r="K302" i="3"/>
  <c r="K150" i="3"/>
  <c r="K160" i="3"/>
  <c r="K147" i="3"/>
  <c r="K14" i="3"/>
  <c r="K137" i="3"/>
  <c r="K141" i="3"/>
  <c r="K75" i="3"/>
  <c r="K81" i="3"/>
  <c r="A33" i="2" s="1"/>
  <c r="K6" i="3"/>
  <c r="K239" i="3"/>
  <c r="K244" i="3"/>
  <c r="K45" i="3"/>
  <c r="K59" i="3"/>
  <c r="K77" i="3"/>
  <c r="K288" i="3"/>
  <c r="K300" i="3"/>
  <c r="K29" i="3"/>
  <c r="K232" i="3"/>
  <c r="K35" i="3"/>
  <c r="K189" i="3"/>
  <c r="K240" i="3"/>
  <c r="K200" i="3"/>
  <c r="K152" i="3"/>
  <c r="K213" i="3"/>
  <c r="K214" i="3"/>
  <c r="K50" i="3"/>
  <c r="K49" i="3"/>
  <c r="K106" i="3"/>
  <c r="K204" i="3"/>
  <c r="K128" i="3"/>
  <c r="K56" i="3"/>
  <c r="K299" i="3"/>
  <c r="K261" i="3"/>
  <c r="K312" i="3"/>
  <c r="II2" i="13" s="1"/>
  <c r="K178" i="3"/>
  <c r="II42" i="13" s="1"/>
  <c r="K331" i="3"/>
  <c r="II16" i="13" s="1"/>
  <c r="K105" i="3"/>
  <c r="K224" i="3"/>
  <c r="K158" i="3"/>
  <c r="K163" i="3"/>
  <c r="K268" i="3"/>
  <c r="K272" i="3"/>
  <c r="K216" i="3"/>
  <c r="DT95" i="13" l="1"/>
  <c r="DI95" i="13"/>
  <c r="II25" i="13"/>
  <c r="IJ25" i="13" s="1"/>
  <c r="DI94" i="13"/>
  <c r="DT94" i="13"/>
  <c r="II30" i="13"/>
  <c r="IJ30" i="13" s="1"/>
  <c r="II29" i="13"/>
  <c r="IJ29" i="13" s="1"/>
  <c r="II28" i="13"/>
  <c r="IJ28" i="13" s="1"/>
  <c r="II31" i="13"/>
  <c r="IJ31" i="13" s="1"/>
  <c r="DT96" i="13"/>
  <c r="DI96" i="13"/>
  <c r="II27" i="13"/>
  <c r="IJ27" i="13" s="1"/>
  <c r="II24" i="13"/>
  <c r="IJ24" i="13" s="1"/>
  <c r="II26" i="13"/>
  <c r="IJ26" i="13" s="1"/>
  <c r="B151" i="4"/>
  <c r="C151" i="4"/>
  <c r="IN16" i="4"/>
  <c r="IN4" i="4"/>
  <c r="IN7" i="4"/>
  <c r="IN5" i="4"/>
  <c r="IN18" i="4"/>
  <c r="IN19" i="4"/>
  <c r="IN42" i="4"/>
  <c r="IN13" i="4"/>
  <c r="IN40" i="4"/>
  <c r="IN41" i="4"/>
  <c r="IN32" i="4"/>
  <c r="IN43" i="4"/>
  <c r="IN17" i="4"/>
  <c r="IN22" i="4"/>
  <c r="IN35" i="4"/>
  <c r="IN38" i="4"/>
  <c r="IN20" i="4"/>
  <c r="IN6" i="4"/>
  <c r="IN8" i="4"/>
  <c r="IN2" i="4"/>
  <c r="DT95" i="4"/>
  <c r="IN36" i="4"/>
  <c r="IN15" i="4"/>
  <c r="IN12" i="4"/>
  <c r="IN10" i="4"/>
  <c r="IN3" i="4"/>
  <c r="IN14" i="4"/>
  <c r="IN11" i="4"/>
  <c r="IN23" i="4"/>
  <c r="IN21" i="4"/>
  <c r="IN9" i="4"/>
  <c r="IN37" i="4"/>
  <c r="DI95" i="4"/>
  <c r="DT94" i="4"/>
  <c r="DI94" i="4"/>
  <c r="H27" i="2" s="1"/>
  <c r="I27" i="2" s="1"/>
  <c r="F33" i="2"/>
  <c r="D33" i="2"/>
  <c r="E33" i="2"/>
  <c r="H364" i="3"/>
  <c r="K364" i="3" s="1"/>
  <c r="H369" i="3"/>
  <c r="K369" i="3" s="1"/>
  <c r="H359" i="3"/>
  <c r="K359" i="3" s="1"/>
  <c r="H349" i="3"/>
  <c r="K349" i="3" s="1"/>
  <c r="H217" i="3"/>
  <c r="K217" i="3" s="1"/>
  <c r="H354" i="3"/>
  <c r="K354" i="3" s="1"/>
  <c r="H338" i="3"/>
  <c r="K338" i="3" s="1"/>
  <c r="DI96" i="4"/>
  <c r="DT96" i="4"/>
  <c r="IN31" i="4" l="1"/>
  <c r="IO31" i="4" s="1"/>
  <c r="IN24" i="4"/>
  <c r="IO24" i="4" s="1"/>
  <c r="IN28" i="4"/>
  <c r="IO28" i="4" s="1"/>
  <c r="IN29" i="4"/>
  <c r="IO29" i="4" s="1"/>
  <c r="IN30" i="4"/>
  <c r="IO30" i="4" s="1"/>
  <c r="IN27" i="4"/>
  <c r="IO27" i="4" s="1"/>
  <c r="IN26" i="4"/>
  <c r="IO26" i="4" s="1"/>
  <c r="IN25" i="4"/>
  <c r="IO25" i="4" s="1"/>
  <c r="K367" i="3"/>
  <c r="K372" i="3"/>
  <c r="K357" i="3"/>
  <c r="K371" i="3"/>
  <c r="K355" i="3"/>
  <c r="K356" i="3"/>
  <c r="K360" i="3"/>
  <c r="K370" i="3"/>
  <c r="K352" i="3"/>
  <c r="K362" i="3"/>
  <c r="K353" i="3"/>
  <c r="K368" i="3"/>
  <c r="K363" i="3"/>
  <c r="K350" i="3"/>
  <c r="K351" i="3"/>
  <c r="K365" i="3"/>
  <c r="K366" i="3"/>
  <c r="K361" i="3"/>
  <c r="K373" i="3"/>
  <c r="K358" i="3"/>
  <c r="K218" i="3"/>
  <c r="A37" i="2" s="1"/>
  <c r="K344" i="3"/>
  <c r="K341" i="3"/>
  <c r="K347" i="3"/>
  <c r="K346" i="3"/>
  <c r="K343" i="3"/>
  <c r="K340" i="3"/>
  <c r="K348" i="3"/>
  <c r="K345" i="3"/>
  <c r="K339" i="3"/>
  <c r="K342" i="3"/>
  <c r="R387" i="3" l="1"/>
  <c r="T387" i="3" s="1"/>
  <c r="I48" i="2" s="1"/>
  <c r="R395" i="3"/>
  <c r="T395" i="3" s="1"/>
  <c r="R385" i="3"/>
  <c r="G49" i="2" s="1"/>
  <c r="G51" i="2" s="1"/>
  <c r="R393" i="3"/>
  <c r="T393" i="3" s="1"/>
  <c r="R392" i="3"/>
  <c r="T392" i="3" s="1"/>
  <c r="R400" i="3"/>
  <c r="T400" i="3" s="1"/>
  <c r="R384" i="3"/>
  <c r="T384" i="3" s="1"/>
  <c r="F48" i="2" s="1"/>
  <c r="R397" i="3"/>
  <c r="T397" i="3" s="1"/>
  <c r="R390" i="3"/>
  <c r="T390" i="3" s="1"/>
  <c r="R381" i="3"/>
  <c r="T381" i="3" s="1"/>
  <c r="C48" i="2" s="1"/>
  <c r="R388" i="3"/>
  <c r="T388" i="3" s="1"/>
  <c r="R396" i="3"/>
  <c r="T396" i="3" s="1"/>
  <c r="R389" i="3"/>
  <c r="T389" i="3" s="1"/>
  <c r="R386" i="3"/>
  <c r="T386" i="3" s="1"/>
  <c r="H48" i="2" s="1"/>
  <c r="R391" i="3"/>
  <c r="T391" i="3" s="1"/>
  <c r="R398" i="3"/>
  <c r="T398" i="3" s="1"/>
  <c r="R394" i="3"/>
  <c r="T394" i="3" s="1"/>
  <c r="R399" i="3"/>
  <c r="T399" i="3" s="1"/>
  <c r="R383" i="3"/>
  <c r="T383" i="3" s="1"/>
  <c r="E48" i="2" s="1"/>
  <c r="R382" i="3"/>
  <c r="T382" i="3" s="1"/>
  <c r="D48" i="2" s="1"/>
  <c r="I49" i="2" l="1"/>
  <c r="I53" i="2" s="1"/>
  <c r="I55" i="2" s="1"/>
  <c r="T385" i="3"/>
  <c r="G48" i="2" s="1"/>
  <c r="F49" i="2"/>
  <c r="F53" i="2" s="1"/>
  <c r="F55" i="2" s="1"/>
  <c r="C49" i="2"/>
  <c r="C53" i="2" s="1"/>
  <c r="C55" i="2" s="1"/>
  <c r="H49" i="2"/>
  <c r="H53" i="2" s="1"/>
  <c r="H55" i="2" s="1"/>
  <c r="E49" i="2"/>
  <c r="E53" i="2" s="1"/>
  <c r="E55" i="2" s="1"/>
  <c r="D49" i="2"/>
  <c r="D53" i="2" s="1"/>
  <c r="D55" i="2" s="1"/>
  <c r="F51" i="2"/>
  <c r="G53" i="2"/>
  <c r="G55" i="2" s="1"/>
  <c r="I51" i="2" l="1"/>
  <c r="H51" i="2"/>
  <c r="E51" i="2"/>
  <c r="C51" i="2"/>
  <c r="D51" i="2"/>
</calcChain>
</file>

<file path=xl/sharedStrings.xml><?xml version="1.0" encoding="utf-8"?>
<sst xmlns="http://schemas.openxmlformats.org/spreadsheetml/2006/main" count="35778" uniqueCount="4432">
  <si>
    <t>Kuinka lomake täytetään, ja kuinka tehdään hahmo?</t>
  </si>
  <si>
    <t>1.</t>
  </si>
  <si>
    <r>
      <t xml:space="preserve">Talleta tiedosto toisella nimellä, esim. Varahahmo 2. </t>
    </r>
    <r>
      <rPr>
        <b/>
        <sz val="8"/>
        <color indexed="8"/>
        <rFont val="Arial"/>
        <family val="2"/>
        <charset val="1"/>
      </rPr>
      <t>Tallenna tiedosto omalla koneellasi toimivaan muotoon!</t>
    </r>
  </si>
  <si>
    <t>2.</t>
  </si>
  <si>
    <r>
      <t>Valitse,</t>
    </r>
    <r>
      <rPr>
        <sz val="8"/>
        <color indexed="8"/>
        <rFont val="Arial"/>
        <family val="2"/>
        <charset val="1"/>
      </rPr>
      <t xml:space="preserve"> haluatko tehdä </t>
    </r>
    <r>
      <rPr>
        <b/>
        <sz val="8"/>
        <color indexed="8"/>
        <rFont val="Arial"/>
        <family val="2"/>
        <charset val="1"/>
      </rPr>
      <t>suoraan Rural/Urban Man</t>
    </r>
    <r>
      <rPr>
        <sz val="8"/>
        <color indexed="8"/>
        <rFont val="Arial"/>
        <family val="2"/>
        <charset val="1"/>
      </rPr>
      <t>in, vai arpoa rodun taulukosta.</t>
    </r>
  </si>
  <si>
    <t>2.1.</t>
  </si>
  <si>
    <r>
      <t>Heitä Rotu ja kulttuuri, ellet valinnut Rural/Urban mania</t>
    </r>
    <r>
      <rPr>
        <sz val="8"/>
        <color indexed="8"/>
        <rFont val="Arial"/>
        <family val="2"/>
        <charset val="1"/>
      </rPr>
      <t>. Näet rotubonukset ja ammatin pääominaisuudet, joiden täytyy olla 90+.</t>
    </r>
  </si>
  <si>
    <t>2.2.</t>
  </si>
  <si>
    <r>
      <t>Valitse Ammatti</t>
    </r>
    <r>
      <rPr>
        <sz val="8"/>
        <color indexed="8"/>
        <rFont val="Arial"/>
        <family val="2"/>
        <charset val="1"/>
      </rPr>
      <t xml:space="preserve"> alasvetovalikosta.</t>
    </r>
  </si>
  <si>
    <t>2.3.</t>
  </si>
  <si>
    <r>
      <t>Valitse taikuuden ala</t>
    </r>
    <r>
      <rPr>
        <sz val="8"/>
        <color indexed="8"/>
        <rFont val="Arial"/>
        <family val="2"/>
        <charset val="1"/>
      </rPr>
      <t>, mikäli se ei tule ammatista valmiiksi.  (Vain Puret saavat +4 base spell listiä, RMSS s. 51)</t>
    </r>
  </si>
  <si>
    <t>2.4.</t>
  </si>
  <si>
    <r>
      <t>Valitse Valta</t>
    </r>
    <r>
      <rPr>
        <sz val="8"/>
        <color indexed="8"/>
        <rFont val="Arial"/>
        <family val="2"/>
        <charset val="1"/>
      </rPr>
      <t xml:space="preserve"> alasvetovalikosta. Mikäli </t>
    </r>
    <r>
      <rPr>
        <b/>
        <sz val="8"/>
        <color indexed="8"/>
        <rFont val="Arial"/>
        <family val="2"/>
        <charset val="1"/>
      </rPr>
      <t>ET ole Channelingin käyttäjä</t>
    </r>
    <r>
      <rPr>
        <sz val="8"/>
        <color indexed="8"/>
        <rFont val="Arial"/>
        <family val="2"/>
        <charset val="1"/>
      </rPr>
      <t xml:space="preserve">, voit valita </t>
    </r>
    <r>
      <rPr>
        <b/>
        <sz val="8"/>
        <color indexed="8"/>
        <rFont val="Arial"/>
        <family val="2"/>
        <charset val="1"/>
      </rPr>
      <t>myös None</t>
    </r>
    <r>
      <rPr>
        <sz val="8"/>
        <color indexed="8"/>
        <rFont val="Arial"/>
        <family val="2"/>
        <charset val="1"/>
      </rPr>
      <t>. Channelingin käyttäjillä täytyy olla Valta (eli Power Pointtien lähde).</t>
    </r>
  </si>
  <si>
    <t>2.5.</t>
  </si>
  <si>
    <t>Valitse Alignment. Alignmentin perässä on uusi kuvaus pelaajahahmojen alignmenteille. Tämän jälkeen on kerrottu vielä "polku", joka ohjaa hahmon toimintaa.</t>
  </si>
  <si>
    <t>2.5.1.</t>
  </si>
  <si>
    <t>Päätä se itse tai tee testi osoitteessa http://easydamus.com/alignmenttest.html</t>
  </si>
  <si>
    <t>2.5.2.</t>
  </si>
  <si>
    <t xml:space="preserve">Vaihtoehtoinen alignment ja tarkempaa tietoa: http://easydamus.com/alignmentreal.html tarkempaa määrittelyä varten. </t>
  </si>
  <si>
    <t>2.5.3.</t>
  </si>
  <si>
    <t>Huomaa, että nämä ovat vain hahmoja varten; ne ovat positiivissävytteisiä alignmentteja. Esim. chaotic evil -npc ei välttämättä sovi näihin raameihin.</t>
  </si>
  <si>
    <t>2.6.</t>
  </si>
  <si>
    <t>Valitse silmien, hiusten ja ihon väri. Voit myös keksiä ne itse, jos haluat esim. valkohiuksisen hahmon.</t>
  </si>
  <si>
    <t>3.</t>
  </si>
  <si>
    <r>
      <t xml:space="preserve">Sijoita hahmolle </t>
    </r>
    <r>
      <rPr>
        <b/>
        <sz val="8"/>
        <color indexed="8"/>
        <rFont val="Arial"/>
        <family val="2"/>
        <charset val="1"/>
      </rPr>
      <t>Statit</t>
    </r>
    <r>
      <rPr>
        <sz val="8"/>
        <color indexed="8"/>
        <rFont val="Arial"/>
        <family val="2"/>
        <charset val="1"/>
      </rPr>
      <t xml:space="preserve">. </t>
    </r>
  </si>
  <si>
    <t>3.1.</t>
  </si>
  <si>
    <t xml:space="preserve">Pisteitä on käytettävissä 660. Taulukko ilmoittaa kunkin statin hinnan ja jäljellä olevat pisteet ja laskee potentiaalin. </t>
  </si>
  <si>
    <t>3.2.</t>
  </si>
  <si>
    <t>Statteja voi optimoida; siellä on tiettyjä rajoja, joiden mukaan potentiaali muuttuu. Katso Info-välilehti solusta A165 alaspäin.</t>
  </si>
  <si>
    <t>3.3.</t>
  </si>
  <si>
    <t>Kun potentiaalit on saatu näkyviin, kopioi ne ja liitä ne määräten niiden paikalle lukuna. Tämä estää niiden muuttumisen, mikäli tempit nousevat.</t>
  </si>
  <si>
    <t>3.4.</t>
  </si>
  <si>
    <t>Ulkonäkö heitetään d100.</t>
  </si>
  <si>
    <t>3.5.</t>
  </si>
  <si>
    <r>
      <t>Heitä Social Status</t>
    </r>
    <r>
      <rPr>
        <sz val="8"/>
        <color indexed="8"/>
        <rFont val="Arial"/>
        <family val="2"/>
        <charset val="1"/>
      </rPr>
      <t xml:space="preserve"> ja merkitse tulos soluun L8. Tämä määrittää asemasi sekä perusaloitusrahat.</t>
    </r>
  </si>
  <si>
    <t>4.</t>
  </si>
  <si>
    <r>
      <t xml:space="preserve">Copy-Pasteta </t>
    </r>
    <r>
      <rPr>
        <b/>
        <sz val="8"/>
        <color indexed="8"/>
        <rFont val="Arial"/>
        <family val="2"/>
        <charset val="1"/>
      </rPr>
      <t>Adolescence Skill Rank</t>
    </r>
    <r>
      <rPr>
        <sz val="8"/>
        <color indexed="8"/>
        <rFont val="Arial"/>
        <family val="2"/>
        <charset val="1"/>
      </rPr>
      <t xml:space="preserve">it skillisivulta </t>
    </r>
    <r>
      <rPr>
        <b/>
        <sz val="8"/>
        <color indexed="8"/>
        <rFont val="Arial"/>
        <family val="2"/>
        <charset val="1"/>
      </rPr>
      <t>alla olevan ohjeen mukaisesti.</t>
    </r>
  </si>
  <si>
    <t>4.1.</t>
  </si>
  <si>
    <t>Määrittele asekykyjen rankit rotusi/kulttuurisi aloitusaseiden (Skills -välilehden solu N318) mukaisesti haluamiisi kategorioihin. Et voi yhdistää kahden kategorian ja kyvyn rankkeja.</t>
  </si>
  <si>
    <t>4.2.</t>
  </si>
  <si>
    <r>
      <t xml:space="preserve">Maalaa koko sarake solusta L3 alaspäin ja valitse kopioi. </t>
    </r>
    <r>
      <rPr>
        <b/>
        <sz val="8"/>
        <color indexed="8"/>
        <rFont val="Arial"/>
        <family val="2"/>
        <charset val="1"/>
      </rPr>
      <t>ÄLÄ tee tätä ennenkuin kohta 4.1. on tehty.</t>
    </r>
  </si>
  <si>
    <t>4.3.</t>
  </si>
  <si>
    <t>Liitä määräten rankkisarakkeeseen niin, että liität vain luvut/arvot ja tekstit (ei muotoiluja).</t>
  </si>
  <si>
    <t>4.4.</t>
  </si>
  <si>
    <t>Vaihda asekykyjen hintojen paikat haluamiisi asekykykategorioihin.</t>
  </si>
  <si>
    <t>5.</t>
  </si>
  <si>
    <r>
      <t>Käytä Talent Pointit</t>
    </r>
    <r>
      <rPr>
        <sz val="8"/>
        <color indexed="8"/>
        <rFont val="Arial"/>
        <family val="2"/>
        <charset val="1"/>
      </rPr>
      <t xml:space="preserve"> RM5806 – Character Law-kirjan mukaisesti sivulta 52 alkaen. Oikeat hinnat ja pisteet ovat hahmolomakkeessa.</t>
    </r>
  </si>
  <si>
    <t>5.1.</t>
  </si>
  <si>
    <r>
      <t xml:space="preserve">Valitse Talentit soluihin K57 – K67. </t>
    </r>
    <r>
      <rPr>
        <b/>
        <sz val="8"/>
        <color indexed="8"/>
        <rFont val="Arial"/>
        <family val="2"/>
        <charset val="1"/>
      </rPr>
      <t>Hahmolla voi olla maksimissaan kahdeksan Talenttia.</t>
    </r>
    <r>
      <rPr>
        <sz val="8"/>
        <color indexed="8"/>
        <rFont val="Arial"/>
        <family val="2"/>
        <charset val="1"/>
      </rPr>
      <t xml:space="preserve"> Maksut tulevat automaattisesti viereisiin soluihin.</t>
    </r>
  </si>
  <si>
    <t>5.1.1.</t>
  </si>
  <si>
    <t>Talenttien lähde, syy tai ilmaantuminen täytyy mainita hahmon taustassa jollain tavalla. Tapa voi olla esim. piilevä kyky, treenattu taito tai voimakkaan taikuuden tulos.</t>
  </si>
  <si>
    <t>5.1.2.</t>
  </si>
  <si>
    <t>Stattibonustalentin voi itse päättää vain jos se kohdistuu Prime Stattiin. Muutoin se arvotaan d10 -heitolla kaikkien stattien kesken.</t>
  </si>
  <si>
    <t>5.1.3.</t>
  </si>
  <si>
    <r>
      <t>Yhteen kykyyn voi vaikuttaa vain yksi talentti.</t>
    </r>
    <r>
      <rPr>
        <sz val="8"/>
        <color indexed="8"/>
        <rFont val="Arial"/>
        <family val="2"/>
        <charset val="1"/>
      </rPr>
      <t xml:space="preserve"> Mikäli talentti vaikuttaa kategoriaan, katsotaan sen vaikuttavan kykyynkin.</t>
    </r>
  </si>
  <si>
    <t>5.2.</t>
  </si>
  <si>
    <r>
      <t xml:space="preserve">Valitse Flawit soluihin M57 – M67. </t>
    </r>
    <r>
      <rPr>
        <b/>
        <sz val="8"/>
        <color indexed="8"/>
        <rFont val="Arial"/>
        <family val="2"/>
        <charset val="1"/>
      </rPr>
      <t xml:space="preserve">Hahmolla voi olla maksimissaan neljä Flawia. </t>
    </r>
    <r>
      <rPr>
        <sz val="8"/>
        <color indexed="8"/>
        <rFont val="Arial"/>
        <family val="2"/>
        <charset val="1"/>
      </rPr>
      <t>Näistä saatavat pisteet tulevat automaattisesti viereisiin soluihin. Flawien tulee olla järkeviä.</t>
    </r>
  </si>
  <si>
    <t>5.2.1.</t>
  </si>
  <si>
    <t xml:space="preserve">Esim. non-spell user ei voi ottaa flawia, joka antaa miinusta loitsujen heittoon. </t>
  </si>
  <si>
    <t>5.2.2.</t>
  </si>
  <si>
    <t>Flawien eivät saa vaikuttaa samaan asiaan kuin Talentit (eli ei voi ottaa -3 AG ja +5 AG flawia ja talenttia).</t>
  </si>
  <si>
    <t>5.3.</t>
  </si>
  <si>
    <t>Solussa L70 näet käytettävissä olevat Talent Pointit.</t>
  </si>
  <si>
    <t>5.4.</t>
  </si>
  <si>
    <t xml:space="preserve">Poista sarakkeessa A (83 eteenpäin) olevat ylimääräiset Talentit, mitä et valinnut. Tee samoin Flaweille. </t>
  </si>
  <si>
    <t>6.</t>
  </si>
  <si>
    <r>
      <t>Muuta käsin rotusi ja ammattisi</t>
    </r>
    <r>
      <rPr>
        <b/>
        <sz val="8"/>
        <color indexed="8"/>
        <rFont val="Arial"/>
        <family val="2"/>
        <charset val="1"/>
      </rPr>
      <t xml:space="preserve"> Everyman</t>
    </r>
    <r>
      <rPr>
        <sz val="8"/>
        <color indexed="8"/>
        <rFont val="Arial"/>
        <family val="2"/>
        <charset val="1"/>
      </rPr>
      <t xml:space="preserve">, </t>
    </r>
    <r>
      <rPr>
        <i/>
        <sz val="8"/>
        <color indexed="8"/>
        <rFont val="Arial"/>
        <family val="2"/>
        <charset val="1"/>
      </rPr>
      <t>Restricted</t>
    </r>
    <r>
      <rPr>
        <sz val="8"/>
        <color indexed="8"/>
        <rFont val="Arial"/>
        <family val="2"/>
        <charset val="1"/>
      </rPr>
      <t xml:space="preserve"> ja </t>
    </r>
    <r>
      <rPr>
        <u/>
        <sz val="8"/>
        <color indexed="8"/>
        <rFont val="Arial"/>
        <family val="2"/>
        <charset val="1"/>
      </rPr>
      <t>Occupational</t>
    </r>
    <r>
      <rPr>
        <sz val="8"/>
        <color indexed="8"/>
        <rFont val="Arial"/>
        <family val="2"/>
        <charset val="1"/>
      </rPr>
      <t xml:space="preserve"> -skillit taulukkoon.  </t>
    </r>
  </si>
  <si>
    <t>6.1.</t>
  </si>
  <si>
    <t>Everyman on lihavoitu: yhden rankin opettelulla saat kaksi rankkia kykyyn.</t>
  </si>
  <si>
    <t>6.2.</t>
  </si>
  <si>
    <t>Restricted kursivoitu: yhden rankin opettelu maksaa kahden rankin verran (voi tehdä kahdella eri tasolla; esim. tasolla 2 toinen opettelu ja tasolla 3 toinen).</t>
  </si>
  <si>
    <t>6.3.</t>
  </si>
  <si>
    <t>Occupational alleviivattu: yhden rankin opettelulla saat kolme rankkia kykyyn.</t>
  </si>
  <si>
    <t>7.</t>
  </si>
  <si>
    <t>Käytä Hobby Rankit niihin määritellyihin kykyihin. R/O/E -muutoksella kykyyn ei ole vaikutusta, 1 rankki on aina 1 rankki.</t>
  </si>
  <si>
    <t>8.</t>
  </si>
  <si>
    <t xml:space="preserve">Nyt hahmo on tasolla 0. Seuraavaksi se nostetaan tasolle 1. </t>
  </si>
  <si>
    <t>8.1.</t>
  </si>
  <si>
    <t>Voit halutessasi piilottaa Adolescence -rankit, Hobby rankit ja Everyman jne sarakkeet</t>
  </si>
  <si>
    <t>8.2.</t>
  </si>
  <si>
    <r>
      <t>Kirjoita</t>
    </r>
    <r>
      <rPr>
        <b/>
        <sz val="8"/>
        <color indexed="8"/>
        <rFont val="Arial"/>
        <family val="2"/>
        <charset val="1"/>
      </rPr>
      <t xml:space="preserve"> Iskuihisi</t>
    </r>
    <r>
      <rPr>
        <sz val="8"/>
        <color indexed="8"/>
        <rFont val="Arial"/>
        <family val="2"/>
        <charset val="1"/>
      </rPr>
      <t xml:space="preserve"> käyttämän hyökkäyskyvyn hinnat soluihin I384 ja J384. Mikäli hinta on vain yksi luku, toisen rankin laskennallinen hinta on 2 x ensimmäinen.Kirjoita</t>
    </r>
    <r>
      <rPr>
        <b/>
        <sz val="8"/>
        <color indexed="8"/>
        <rFont val="Arial"/>
        <family val="2"/>
        <charset val="1"/>
      </rPr>
      <t xml:space="preserve"> Iskuihisi</t>
    </r>
    <r>
      <rPr>
        <sz val="8"/>
        <color indexed="8"/>
        <rFont val="Arial"/>
        <family val="2"/>
        <charset val="1"/>
      </rPr>
      <t xml:space="preserve"> käyttämän hyökkäyskyvyn hinnat soluihin I384 ja J384. Mikäli hinta on vain yksi luku, toisen rankin laskennallinen hinta on 2 x ensimmäinen.</t>
    </r>
  </si>
  <si>
    <t>8.3.</t>
  </si>
  <si>
    <r>
      <t>Sarakkeeseen O</t>
    </r>
    <r>
      <rPr>
        <sz val="8"/>
        <color indexed="8"/>
        <rFont val="Arial"/>
        <family val="2"/>
        <charset val="1"/>
      </rPr>
      <t xml:space="preserve"> voit merkitä, </t>
    </r>
    <r>
      <rPr>
        <b/>
        <sz val="8"/>
        <color indexed="8"/>
        <rFont val="Arial"/>
        <family val="2"/>
        <charset val="1"/>
      </rPr>
      <t>montako rankkia</t>
    </r>
    <r>
      <rPr>
        <sz val="8"/>
        <color indexed="8"/>
        <rFont val="Arial"/>
        <family val="2"/>
        <charset val="1"/>
      </rPr>
      <t xml:space="preserve"> ostat tasolla.Sarakkeeseen O voit merkitä, </t>
    </r>
    <r>
      <rPr>
        <b/>
        <sz val="8"/>
        <color indexed="8"/>
        <rFont val="Arial"/>
        <family val="2"/>
        <charset val="1"/>
      </rPr>
      <t>montako rankkia</t>
    </r>
    <r>
      <rPr>
        <sz val="8"/>
        <color indexed="8"/>
        <rFont val="Arial"/>
        <family val="2"/>
        <charset val="1"/>
      </rPr>
      <t xml:space="preserve"> ostat tasolla.Sarakkeeseen O voit merkitä, </t>
    </r>
    <r>
      <rPr>
        <b/>
        <sz val="8"/>
        <color indexed="8"/>
        <rFont val="Arial"/>
        <family val="2"/>
        <charset val="1"/>
      </rPr>
      <t>montako rankkia</t>
    </r>
    <r>
      <rPr>
        <sz val="8"/>
        <color indexed="8"/>
        <rFont val="Arial"/>
        <family val="2"/>
        <charset val="1"/>
      </rPr>
      <t xml:space="preserve"> ostat tasolla.Sarakkeeseen O voit merkitä, </t>
    </r>
    <r>
      <rPr>
        <b/>
        <sz val="8"/>
        <color indexed="8"/>
        <rFont val="Arial"/>
        <family val="2"/>
        <charset val="1"/>
      </rPr>
      <t>montako rankkia</t>
    </r>
    <r>
      <rPr>
        <sz val="8"/>
        <color indexed="8"/>
        <rFont val="Arial"/>
        <family val="2"/>
        <charset val="1"/>
      </rPr>
      <t xml:space="preserve"> ostat tasolla.</t>
    </r>
  </si>
  <si>
    <t>8.4.</t>
  </si>
  <si>
    <r>
      <t>Sarakkeeseen P</t>
    </r>
    <r>
      <rPr>
        <sz val="8"/>
        <color indexed="8"/>
        <rFont val="Arial"/>
        <family val="2"/>
        <charset val="1"/>
      </rPr>
      <t xml:space="preserve"> voit merkitä, </t>
    </r>
    <r>
      <rPr>
        <b/>
        <sz val="8"/>
        <color indexed="8"/>
        <rFont val="Arial"/>
        <family val="2"/>
        <charset val="1"/>
      </rPr>
      <t>paljonko</t>
    </r>
    <r>
      <rPr>
        <sz val="8"/>
        <color indexed="8"/>
        <rFont val="Arial"/>
        <family val="2"/>
        <charset val="1"/>
      </rPr>
      <t xml:space="preserve"> nämä</t>
    </r>
    <r>
      <rPr>
        <b/>
        <sz val="8"/>
        <color indexed="8"/>
        <rFont val="Arial"/>
        <family val="2"/>
        <charset val="1"/>
      </rPr>
      <t xml:space="preserve"> rankit maksavatSarakkeeseen P</t>
    </r>
    <r>
      <rPr>
        <sz val="8"/>
        <color indexed="8"/>
        <rFont val="Arial"/>
        <family val="2"/>
        <charset val="1"/>
      </rPr>
      <t xml:space="preserve"> voit merkitä, </t>
    </r>
    <r>
      <rPr>
        <b/>
        <sz val="8"/>
        <color indexed="8"/>
        <rFont val="Arial"/>
        <family val="2"/>
        <charset val="1"/>
      </rPr>
      <t>paljonko</t>
    </r>
    <r>
      <rPr>
        <sz val="8"/>
        <color indexed="8"/>
        <rFont val="Arial"/>
        <family val="2"/>
        <charset val="1"/>
      </rPr>
      <t xml:space="preserve"> nämä</t>
    </r>
    <r>
      <rPr>
        <b/>
        <sz val="8"/>
        <color indexed="8"/>
        <rFont val="Arial"/>
        <family val="2"/>
        <charset val="1"/>
      </rPr>
      <t xml:space="preserve"> rankit maksavatSarakkeeseen P</t>
    </r>
    <r>
      <rPr>
        <sz val="8"/>
        <color indexed="8"/>
        <rFont val="Arial"/>
        <family val="2"/>
        <charset val="1"/>
      </rPr>
      <t xml:space="preserve"> voit merkitä, </t>
    </r>
    <r>
      <rPr>
        <b/>
        <sz val="8"/>
        <color indexed="8"/>
        <rFont val="Arial"/>
        <family val="2"/>
        <charset val="1"/>
      </rPr>
      <t>paljonko</t>
    </r>
    <r>
      <rPr>
        <sz val="8"/>
        <color indexed="8"/>
        <rFont val="Arial"/>
        <family val="2"/>
        <charset val="1"/>
      </rPr>
      <t xml:space="preserve"> nämä</t>
    </r>
    <r>
      <rPr>
        <b/>
        <sz val="8"/>
        <color indexed="8"/>
        <rFont val="Arial"/>
        <family val="2"/>
        <charset val="1"/>
      </rPr>
      <t xml:space="preserve"> rankit maksavatSarakkeeseen P</t>
    </r>
    <r>
      <rPr>
        <sz val="8"/>
        <color indexed="8"/>
        <rFont val="Arial"/>
        <family val="2"/>
        <charset val="1"/>
      </rPr>
      <t xml:space="preserve"> voit merkitä, </t>
    </r>
    <r>
      <rPr>
        <b/>
        <sz val="8"/>
        <color indexed="8"/>
        <rFont val="Arial"/>
        <family val="2"/>
        <charset val="1"/>
      </rPr>
      <t>paljonko</t>
    </r>
    <r>
      <rPr>
        <sz val="8"/>
        <color indexed="8"/>
        <rFont val="Arial"/>
        <family val="2"/>
        <charset val="1"/>
      </rPr>
      <t xml:space="preserve"> nämä</t>
    </r>
    <r>
      <rPr>
        <b/>
        <sz val="8"/>
        <color indexed="8"/>
        <rFont val="Arial"/>
        <family val="2"/>
        <charset val="1"/>
      </rPr>
      <t xml:space="preserve"> rankit maksavat</t>
    </r>
  </si>
  <si>
    <t>8.5.</t>
  </si>
  <si>
    <t>Training Packagien maksut löytyvät osoitteesta http://www.kuittaa.fi/newrpg/sekal/houserules/TP.pdf. Merkitse nämä käsin soluihin P424 – P427.</t>
  </si>
  <si>
    <t>8.5.1.</t>
  </si>
  <si>
    <t>Uuden Lifestyle-paketin voi ostaa aina 10. tason välein tasolta 0 alkaen; ts. tasolla 0, tasolla 10, tasolla 20 jne. Nämä paketit eivät saa olla samoja.</t>
  </si>
  <si>
    <t>8.5.2.</t>
  </si>
  <si>
    <r>
      <t>Vocational-paketteja</t>
    </r>
    <r>
      <rPr>
        <sz val="8"/>
        <color indexed="8"/>
        <rFont val="Arial"/>
        <family val="2"/>
        <charset val="1"/>
      </rPr>
      <t xml:space="preserve"> voi ostaa koska tahansa ja </t>
    </r>
    <r>
      <rPr>
        <b/>
        <sz val="8"/>
        <color indexed="8"/>
        <rFont val="Arial"/>
        <family val="2"/>
        <charset val="1"/>
      </rPr>
      <t>kuinka monta tahansa</t>
    </r>
    <r>
      <rPr>
        <sz val="8"/>
        <color indexed="8"/>
        <rFont val="Arial"/>
        <family val="2"/>
        <charset val="1"/>
      </rPr>
      <t xml:space="preserve">.Vocational-paketteja voi ostaa koska tahansa ja </t>
    </r>
    <r>
      <rPr>
        <b/>
        <sz val="8"/>
        <color indexed="8"/>
        <rFont val="Arial"/>
        <family val="2"/>
        <charset val="1"/>
      </rPr>
      <t>kuinka monta tahansa</t>
    </r>
    <r>
      <rPr>
        <sz val="8"/>
        <color indexed="8"/>
        <rFont val="Arial"/>
        <family val="2"/>
        <charset val="1"/>
      </rPr>
      <t>.</t>
    </r>
  </si>
  <si>
    <t>8.5.3.</t>
  </si>
  <si>
    <t>Saman Lifestyle- tai Vocational-paketin voi ostaa kahden tason välein, mutta maksimissaan 5 kertaa.</t>
  </si>
  <si>
    <t>8.5.4.</t>
  </si>
  <si>
    <t>Taustatarinasta täytyy löytyä syy tai selitys, miksi ja/tai miten kukin paketti on hankittu.</t>
  </si>
  <si>
    <t>8.5.5.</t>
  </si>
  <si>
    <t>Merkitse jokainen ostettu paketti paketin nimellä hahmolomakkeeseen, vaikka Background &amp; Special Notes -kohtaan.</t>
  </si>
  <si>
    <t>8.5.6.</t>
  </si>
  <si>
    <r>
      <t>Lifestyle -paketeista tulevat rankit ovat aina kumulatiivisia</t>
    </r>
    <r>
      <rPr>
        <sz val="8"/>
        <color indexed="8"/>
        <rFont val="Arial"/>
        <family val="2"/>
        <charset val="1"/>
      </rPr>
      <t>, toisin sanoen ne antavat rankkeja 10. rankin jälkeenkinLifestyle -paketeista tulevat rankit ovat aina kumulatiivisia, toisin sanoen ne antavat rankkeja 10. rankin jälkeenkin</t>
    </r>
  </si>
  <si>
    <t>8.5.7.</t>
  </si>
  <si>
    <t>R/O/E -kyvyt rodusta, ammatista tai talenteista eivät vaikuta TP-rankkeihin; 1 rankki TP:stä on 1 rankki kykyyn.</t>
  </si>
  <si>
    <t>8.6.</t>
  </si>
  <si>
    <t>Sarake Q laskee kokonaisrankit. Kun olet nostanut hahmon, kopio koko tämä sarake solusta Q3 alkaen</t>
  </si>
  <si>
    <t>8.7.</t>
  </si>
  <si>
    <t>Liitä kopio määräten sarakkeeseen D (ranks) siten, että liität vain luvut/arvot (ei muotoilua). Tyhjennä sarakkeet O ja P.</t>
  </si>
  <si>
    <t>8.8.</t>
  </si>
  <si>
    <r>
      <t xml:space="preserve">(KOSKEE VAIN UUSIA HAHMOJA) </t>
    </r>
    <r>
      <rPr>
        <sz val="8"/>
        <color indexed="8"/>
        <rFont val="Arial"/>
        <family val="2"/>
        <charset val="1"/>
      </rPr>
      <t>Training Packagien mukana on mahdollisuus saada tavaroita tai muuta boonusta. Nämä arvotaan seuraavasti:(KOSKEE VAIN UUSIA HAHMOJA) Training Packagien mukana on mahdollisuus saada tavaroita tai muuta boonusta. Nämä arvotaan seuraavasti:</t>
    </r>
  </si>
  <si>
    <t>8.8.1.</t>
  </si>
  <si>
    <t>Jokaisen kohdan perässä on suluissa (lukuarvo).</t>
  </si>
  <si>
    <t>8.8.2.</t>
  </si>
  <si>
    <t>Että kyseisen jutun saa, pitää heittää yli sata heitolla d100 + (lukuarvo).</t>
  </si>
  <si>
    <t>8.8.3.</t>
  </si>
  <si>
    <t>Jos saat jutun, sen perässä olevan jutun (lukuarvo) puolitetaan seuraavaa heittoa varten</t>
  </si>
  <si>
    <t>8.8.4.</t>
  </si>
  <si>
    <t>Näin jatketaan, kunnes kaikki jutut on arvottu, ja päästy kohtaan, missä lukuarvo on (0). Tällöin</t>
  </si>
  <si>
    <t>8.8.4.1.</t>
  </si>
  <si>
    <t>Mikäli sait jonkun jutun aiemmin, (0) ei vaikuta mitenkään, ellei kohdassa toisin mainita</t>
  </si>
  <si>
    <t>8.8.4.2.</t>
  </si>
  <si>
    <t>Mikäli et saanut mitään juttua, saat (0) -jutun.</t>
  </si>
  <si>
    <t>8.9.</t>
  </si>
  <si>
    <t>TP:t saattavat sisältää bonusaloitusrahaa. Tämä on yleensä joko normal, d10 tai d10 open ended.</t>
  </si>
  <si>
    <t>8.9.1.</t>
  </si>
  <si>
    <t>Normal ei anna ylimääräistä rahaa</t>
  </si>
  <si>
    <t>8.9.2.</t>
  </si>
  <si>
    <t>d10 antaa lisää d10 hopeakolikkoa (ellei toisin ole mainittu, esim. d10 kultakolikkoa)</t>
  </si>
  <si>
    <t>8.9.3.</t>
  </si>
  <si>
    <t>d10 open ended on kuten yllä, paitsi heitolla 0 (eli 10) saa heittää uuden d10, aina niin kauan kunnes silmäluku on jokin muu kuin 0. Heittojen summa lasketaan yhteen.</t>
  </si>
  <si>
    <t>8.10.</t>
  </si>
  <si>
    <t>Training Packaget saattavat antaa myös ylimääräisen stattinousuheiton, tee tämä mainituille stateille kuten kohdassa 15. kerrotaan</t>
  </si>
  <si>
    <t>9.</t>
  </si>
  <si>
    <r>
      <t xml:space="preserve">Merkitse käyttämäsi </t>
    </r>
    <r>
      <rPr>
        <b/>
        <sz val="8"/>
        <color indexed="8"/>
        <rFont val="Arial"/>
        <family val="2"/>
        <charset val="1"/>
      </rPr>
      <t>AT soluun D40</t>
    </r>
    <r>
      <rPr>
        <sz val="8"/>
        <color indexed="8"/>
        <rFont val="Arial"/>
        <family val="2"/>
        <charset val="1"/>
      </rPr>
      <t>. Lomake laskee muutokset liiketoimintoihin, Puolustusbonukseen ja Missile-hyökkäyksiin</t>
    </r>
  </si>
  <si>
    <t>10.</t>
  </si>
  <si>
    <t>Valitse ihon, hiusten ja silmien väri alasvetovalikosta.</t>
  </si>
  <si>
    <t>11.</t>
  </si>
  <si>
    <r>
      <t>Heitä pituus ja paino</t>
    </r>
    <r>
      <rPr>
        <sz val="8"/>
        <color indexed="8"/>
        <rFont val="Arial"/>
        <family val="2"/>
        <charset val="1"/>
      </rPr>
      <t>. Merkitse heitot niille varattuihin soluihin.</t>
    </r>
  </si>
  <si>
    <t>12.</t>
  </si>
  <si>
    <t>Tee soluviittaus haluamiisi loitsulistoihin Stattilehdelle.</t>
  </si>
  <si>
    <t>12.1.</t>
  </si>
  <si>
    <t>Oletuksena on omat peruslistat sekä avoimet, että suljetut listat.</t>
  </si>
  <si>
    <t>12.2.</t>
  </si>
  <si>
    <t>Arcane- ja TP-listat löytyvät Skills -lehden lopusta.</t>
  </si>
  <si>
    <t>13.</t>
  </si>
  <si>
    <t>Keksi hahmollesi parempi nimi kuin oletukseksi on laitettu.</t>
  </si>
  <si>
    <t>14.</t>
  </si>
  <si>
    <t>Loitsulistojen hinnan perässä oleva * kertoo, että hinnat muuttuvat myöhemmillä tasoilla. Tarkista tämä sääntökirjoista.</t>
  </si>
  <si>
    <t>15.</t>
  </si>
  <si>
    <t>Mikäli nostat hahmoasi seuraavalle tasolle voit tehdä stattinostot lomakkeen avulla.</t>
  </si>
  <si>
    <t>15.1.</t>
  </si>
  <si>
    <r>
      <t xml:space="preserve">Merkitse ensin kokemuspisteet seuraavalle tasolle. </t>
    </r>
    <r>
      <rPr>
        <b/>
        <sz val="8"/>
        <color indexed="8"/>
        <rFont val="Arial"/>
        <family val="2"/>
        <charset val="1"/>
      </rPr>
      <t>ÄLÄ</t>
    </r>
    <r>
      <rPr>
        <sz val="8"/>
        <color indexed="8"/>
        <rFont val="Arial"/>
        <family val="2"/>
        <charset val="1"/>
      </rPr>
      <t xml:space="preserve"> muuta tasoa käsin; se lasketaan pisteiden kautta!</t>
    </r>
  </si>
  <si>
    <t>15.2.</t>
  </si>
  <si>
    <t>Merkitse kaksi d10 heittoasi niille varattuihin soluihin (M12-21, N12-21)</t>
  </si>
  <si>
    <t>15.3.</t>
  </si>
  <si>
    <t>Lomake kertoo, paljonko statti nousee, jos se nousee. Statit eivät voi laskea.</t>
  </si>
  <si>
    <t>15.4.</t>
  </si>
  <si>
    <t>Voit halutessasi kopioida uudet statit (L12 – L21) ja liittää ne määräten lukuna (ilman muotoiluja) temppien paikalle.</t>
  </si>
  <si>
    <t>15.5.</t>
  </si>
  <si>
    <t>Jos Temp ja Pot ovat yhtäsuuret, ja heität nousuheittoon 99, niin Pot nousee yhdellä. Jos heität 00, Pot nousee kahdella. Maksimi on 102.</t>
  </si>
  <si>
    <t>15.6.</t>
  </si>
  <si>
    <t>R-kyvyt voi nostaa siten, että yhdellä tasolla maksaa puolet kyvyn nostosta, ja toisella tasolla toisen puolen.</t>
  </si>
  <si>
    <t>15.6.1.</t>
  </si>
  <si>
    <t>Esim. jos R-kyvyn hinta on 2/6, yhdellä tasolla voi maksaa 2 deviä ja toisella 2 deviä, ja tällöin saa 1 rankin.</t>
  </si>
  <si>
    <t>15.6.2.</t>
  </si>
  <si>
    <t>Esim. jos R-kyvyn hinta on 8, yhdellä tasolla voi maksaa 8 deviä ja toisella 8 deviä, ja tällöin saa 1 rankin.</t>
  </si>
  <si>
    <t>16.</t>
  </si>
  <si>
    <t>Muita huomionarvoisia seikkoja</t>
  </si>
  <si>
    <t>16.1.</t>
  </si>
  <si>
    <t>Kategoriarankkien boonus pysähtyy rankkiin 30. Ei siis kannata ostaa enempää rankkeja näihin.</t>
  </si>
  <si>
    <t>16.2.</t>
  </si>
  <si>
    <t>Alertnessin ja Sense Ambushin boonus pysähtyy rankkiin 30. Ei siis kannata ostaa enempää rankkeja näihin.</t>
  </si>
  <si>
    <t>16.3.</t>
  </si>
  <si>
    <t>Temporary Stattien ”sweet spot” on aina joka kymmenyksen 4. luku. Tällöin potti nousee eniten. Esim. 24, 34, 44, 54, 64, 74, 84 ja 94.</t>
  </si>
  <si>
    <t>Name:</t>
  </si>
  <si>
    <t>Nessa</t>
  </si>
  <si>
    <t>Languages</t>
  </si>
  <si>
    <t>Speak</t>
  </si>
  <si>
    <t>Write</t>
  </si>
  <si>
    <t>Race:</t>
  </si>
  <si>
    <t>Race &amp; Culture (choose)</t>
  </si>
  <si>
    <t>Beijabar</t>
  </si>
  <si>
    <t>Height:</t>
  </si>
  <si>
    <t>m</t>
  </si>
  <si>
    <t>BMI:</t>
  </si>
  <si>
    <t>Sorcerer</t>
  </si>
  <si>
    <t>Weight:</t>
  </si>
  <si>
    <t>kg</t>
  </si>
  <si>
    <t>Build:</t>
  </si>
  <si>
    <t>Talent Points</t>
  </si>
  <si>
    <t>Eyes:</t>
  </si>
  <si>
    <t>Pituus</t>
  </si>
  <si>
    <t>avoin d100</t>
  </si>
  <si>
    <t>Age:</t>
  </si>
  <si>
    <t>Hair:</t>
  </si>
  <si>
    <t>Paino</t>
  </si>
  <si>
    <t>suljettu d100, siis väliltä 1-100</t>
  </si>
  <si>
    <t>Appearance</t>
  </si>
  <si>
    <t>d100</t>
  </si>
  <si>
    <t>Skin:</t>
  </si>
  <si>
    <t>Social Status</t>
  </si>
  <si>
    <t>Recovery-x</t>
  </si>
  <si>
    <t xml:space="preserve"> times normal</t>
  </si>
  <si>
    <t>Alignment:</t>
  </si>
  <si>
    <t>Chaotic Neutral</t>
  </si>
  <si>
    <t>Statistics:</t>
  </si>
  <si>
    <t>Temp.</t>
  </si>
  <si>
    <t>Pot.</t>
  </si>
  <si>
    <t>Dev.</t>
  </si>
  <si>
    <t>Normal</t>
  </si>
  <si>
    <t>Special</t>
  </si>
  <si>
    <t>Race</t>
  </si>
  <si>
    <t>Total</t>
  </si>
  <si>
    <t>Stat Cost</t>
  </si>
  <si>
    <t>Uusi Statti</t>
  </si>
  <si>
    <t>Nousu</t>
  </si>
  <si>
    <t>eka d10</t>
  </si>
  <si>
    <t>toka d10</t>
  </si>
  <si>
    <t>s</t>
  </si>
  <si>
    <t>l</t>
  </si>
  <si>
    <t>Constitution</t>
  </si>
  <si>
    <t>CO</t>
  </si>
  <si>
    <t>Agility</t>
  </si>
  <si>
    <t>AG</t>
  </si>
  <si>
    <t>Self-Discipline</t>
  </si>
  <si>
    <t>SD</t>
  </si>
  <si>
    <t>Memory</t>
  </si>
  <si>
    <t>ME</t>
  </si>
  <si>
    <t>Reasoning</t>
  </si>
  <si>
    <t>RE</t>
  </si>
  <si>
    <t>Strenght</t>
  </si>
  <si>
    <t>ST</t>
  </si>
  <si>
    <t>Quickness</t>
  </si>
  <si>
    <t>QU</t>
  </si>
  <si>
    <t>Presence</t>
  </si>
  <si>
    <t>PR</t>
  </si>
  <si>
    <t>Empathy</t>
  </si>
  <si>
    <t>EM</t>
  </si>
  <si>
    <t>Intuition</t>
  </si>
  <si>
    <t>IN</t>
  </si>
  <si>
    <t>Total DP:</t>
  </si>
  <si>
    <t>Resistances:</t>
  </si>
  <si>
    <t>Char.</t>
  </si>
  <si>
    <t>Item</t>
  </si>
  <si>
    <t>Stattipisteitä jäljellä</t>
  </si>
  <si>
    <t>Essence</t>
  </si>
  <si>
    <t>Channeling</t>
  </si>
  <si>
    <t>Mentalism</t>
  </si>
  <si>
    <t>Poison</t>
  </si>
  <si>
    <t>Disease</t>
  </si>
  <si>
    <t>Fear</t>
  </si>
  <si>
    <t>None</t>
  </si>
  <si>
    <t>Dead Weight (kg)</t>
  </si>
  <si>
    <t>Todo:</t>
  </si>
  <si>
    <t>Priority</t>
  </si>
  <si>
    <t>Priority #</t>
  </si>
  <si>
    <t>prio</t>
  </si>
  <si>
    <t>#</t>
  </si>
  <si>
    <t>Encumbrance Penalty</t>
  </si>
  <si>
    <t>ulkonäköstatin mukainen kuvaus (matriisi)</t>
  </si>
  <si>
    <t>high</t>
  </si>
  <si>
    <t>extremely high</t>
  </si>
  <si>
    <t>Hit Points</t>
  </si>
  <si>
    <t>Current</t>
  </si>
  <si>
    <t>-10 (25%)</t>
  </si>
  <si>
    <t>-20 (50%)</t>
  </si>
  <si>
    <t>-30 (75%)</t>
  </si>
  <si>
    <t>Hits/h</t>
  </si>
  <si>
    <t>Hits/3h sleep</t>
  </si>
  <si>
    <t>Hits/3h act</t>
  </si>
  <si>
    <t>Real Emcumbrance Penalty</t>
  </si>
  <si>
    <t>iän mukainen kuvaus</t>
  </si>
  <si>
    <t>normal</t>
  </si>
  <si>
    <t>very high</t>
  </si>
  <si>
    <t>1</t>
  </si>
  <si>
    <t>low</t>
  </si>
  <si>
    <t>Exh. Points</t>
  </si>
  <si>
    <t>-5 (25%)</t>
  </si>
  <si>
    <t>-15 (50%)</t>
  </si>
  <si>
    <t>XH/min</t>
  </si>
  <si>
    <t>Xh/30m sleep</t>
  </si>
  <si>
    <t>Xh/30m act</t>
  </si>
  <si>
    <t>Non-magical armour</t>
  </si>
  <si>
    <t>Loppujen rotujen kyvyt, hobbyt, aseet jne</t>
  </si>
  <si>
    <t>Liikemiinus</t>
  </si>
  <si>
    <t>Deityvalintapooli rodun(kin) mukaan?</t>
  </si>
  <si>
    <t>very low</t>
  </si>
  <si>
    <t>Power Points</t>
  </si>
  <si>
    <t>QU-miinus (panssari)</t>
  </si>
  <si>
    <t>tee Itäläisten jne roduille lisää eroavaisuuksia</t>
  </si>
  <si>
    <t>Missile-penalty</t>
  </si>
  <si>
    <t>UW Races</t>
  </si>
  <si>
    <t>extremely low</t>
  </si>
  <si>
    <t>Magic Realm:</t>
  </si>
  <si>
    <t>Walk rate with encumbrance modifier</t>
  </si>
  <si>
    <t>säääd pituutta ja painoa</t>
  </si>
  <si>
    <t>Armour Description:</t>
  </si>
  <si>
    <t>AT</t>
  </si>
  <si>
    <t>Movement Rates (m)</t>
  </si>
  <si>
    <t>Multip.</t>
  </si>
  <si>
    <t>Difficulty</t>
  </si>
  <si>
    <t>Exhaustion</t>
  </si>
  <si>
    <t>Magical armour</t>
  </si>
  <si>
    <t>Walk</t>
  </si>
  <si>
    <t>x1</t>
  </si>
  <si>
    <t>1/60 rnd</t>
  </si>
  <si>
    <t>Shield DB</t>
  </si>
  <si>
    <t>Run</t>
  </si>
  <si>
    <t>x2</t>
  </si>
  <si>
    <t>1/2 rnd</t>
  </si>
  <si>
    <t>Magical DB (non-armour)</t>
  </si>
  <si>
    <t>Sprint</t>
  </si>
  <si>
    <t>x3</t>
  </si>
  <si>
    <t>2 rnd</t>
  </si>
  <si>
    <t>Magical DB (armour only)</t>
  </si>
  <si>
    <t>Fast Sprint</t>
  </si>
  <si>
    <t>x4</t>
  </si>
  <si>
    <t>6/rnd</t>
  </si>
  <si>
    <t>Other DB mods</t>
  </si>
  <si>
    <t>Dash</t>
  </si>
  <si>
    <t>x5</t>
  </si>
  <si>
    <t>50/rnd</t>
  </si>
  <si>
    <t>Lomakkeeseen</t>
  </si>
  <si>
    <t>Total DB</t>
  </si>
  <si>
    <t>Missile / Thrown Attack Penalty:</t>
  </si>
  <si>
    <t>Weapon</t>
  </si>
  <si>
    <t>OB</t>
  </si>
  <si>
    <t>Spell etc OB mods</t>
  </si>
  <si>
    <t>Kuinka maagisen panssarin vaikutus liike-, nopeus- ja ampuma-asemiinuksiin lasketaan?</t>
  </si>
  <si>
    <t>Total OB</t>
  </si>
  <si>
    <t>Maaginen panssari käsitellään superior designina, sekä vain 0,85% normaalin panoisena.</t>
  </si>
  <si>
    <t>Superior design antaa +10 muutoksen kaikkiin haittoihin; minimi- ja maksimiliikkumiseen, nopeuteen ja ampuma-aseseen.</t>
  </si>
  <si>
    <t>Init. (QU / SD)</t>
  </si>
  <si>
    <t>Paino sitten vähentää kertoimensa verran kaikkia miinuksia.</t>
  </si>
  <si>
    <t>Common Init mods</t>
  </si>
  <si>
    <t>Total Init</t>
  </si>
  <si>
    <t xml:space="preserve">Saman efektin saisi siis periaatteessa, jos löytää kevyemmän panssarin, joka on tehty todella laadukkaasti. </t>
  </si>
  <si>
    <t>Notes:</t>
  </si>
  <si>
    <t>Init:</t>
  </si>
  <si>
    <t>-1 / -10 Encumbrance, -4 if taken more than 50% of hits</t>
  </si>
  <si>
    <t>-1 per 10% of max movement activity based on declared pace</t>
  </si>
  <si>
    <t>Flaws (max 4)</t>
  </si>
  <si>
    <t>Points</t>
  </si>
  <si>
    <t>Change from Talent Law</t>
  </si>
  <si>
    <t>Flaw Type</t>
  </si>
  <si>
    <t>Absent-Minded</t>
  </si>
  <si>
    <t>Background &amp; Special Notes</t>
  </si>
  <si>
    <t>Soc. Status:</t>
  </si>
  <si>
    <t xml:space="preserve"> </t>
  </si>
  <si>
    <t>Money:</t>
  </si>
  <si>
    <t>Carried</t>
  </si>
  <si>
    <t>Hidden</t>
  </si>
  <si>
    <t>Stored</t>
  </si>
  <si>
    <t>Gems &amp; Jewellery:</t>
  </si>
  <si>
    <t>Value</t>
  </si>
  <si>
    <t>Talents (max 8)</t>
  </si>
  <si>
    <t>Talent Type</t>
  </si>
  <si>
    <t>Mithril</t>
  </si>
  <si>
    <t>Artist</t>
  </si>
  <si>
    <t>Gold</t>
  </si>
  <si>
    <t>Silver</t>
  </si>
  <si>
    <t>Bronze</t>
  </si>
  <si>
    <t>Copper</t>
  </si>
  <si>
    <t>Tin</t>
  </si>
  <si>
    <t>Talents:</t>
  </si>
  <si>
    <t>Flaws:</t>
  </si>
  <si>
    <t>Talents</t>
  </si>
  <si>
    <t>From Race</t>
  </si>
  <si>
    <t>Points left</t>
  </si>
  <si>
    <t>Herbs, Poisons, Enchanted Substances and their effects:</t>
  </si>
  <si>
    <t>AF</t>
  </si>
  <si>
    <t>Code</t>
  </si>
  <si>
    <t>Miscellaneous notes about places, items, people, creatures and everything else</t>
  </si>
  <si>
    <t>I &lt;3 Kuittaa</t>
  </si>
  <si>
    <t>always and</t>
  </si>
  <si>
    <t>forever</t>
  </si>
  <si>
    <t>Items</t>
  </si>
  <si>
    <t>Weight Carried</t>
  </si>
  <si>
    <t>Weight</t>
  </si>
  <si>
    <t>Location</t>
  </si>
  <si>
    <t>Adoles.</t>
  </si>
  <si>
    <t>Ranks /</t>
  </si>
  <si>
    <t>Cost</t>
  </si>
  <si>
    <t>DP Left</t>
  </si>
  <si>
    <t>KATSO TP-HINNAT</t>
  </si>
  <si>
    <t>Training Package</t>
  </si>
  <si>
    <t>Training Package 2</t>
  </si>
  <si>
    <t>Training Package 3</t>
  </si>
  <si>
    <t>Skill Category / Skill</t>
  </si>
  <si>
    <t>Ranks</t>
  </si>
  <si>
    <t>Bonus</t>
  </si>
  <si>
    <t>Stats</t>
  </si>
  <si>
    <t>Stat Bonus</t>
  </si>
  <si>
    <t>Prof.</t>
  </si>
  <si>
    <t>Everyman skills (racial)</t>
  </si>
  <si>
    <t>Bonuses &amp; Hobby Skills / ranks</t>
  </si>
  <si>
    <t>level</t>
  </si>
  <si>
    <t>ranks</t>
  </si>
  <si>
    <t>NETISTÄ!!!</t>
  </si>
  <si>
    <t>Laborer (V), CR</t>
  </si>
  <si>
    <t>Adventurer (L)</t>
  </si>
  <si>
    <t>Zealot (L)</t>
  </si>
  <si>
    <t>Armour: Heavy</t>
  </si>
  <si>
    <t>St/Ag</t>
  </si>
  <si>
    <t>1 rankilla 2 rankkia</t>
  </si>
  <si>
    <t>Plate</t>
  </si>
  <si>
    <t>St</t>
  </si>
  <si>
    <t>Starting Money</t>
  </si>
  <si>
    <t xml:space="preserve">Armour: Light </t>
  </si>
  <si>
    <t>Ag/St</t>
  </si>
  <si>
    <t>Soft Leather</t>
  </si>
  <si>
    <t>Ag</t>
  </si>
  <si>
    <t>Hard Leather</t>
  </si>
  <si>
    <t>Armour: Medium</t>
  </si>
  <si>
    <t>Chain</t>
  </si>
  <si>
    <t>Artistic: Active</t>
  </si>
  <si>
    <t>Pr/Em</t>
  </si>
  <si>
    <t>Acting</t>
  </si>
  <si>
    <t>Dancing</t>
  </si>
  <si>
    <t>Mimery</t>
  </si>
  <si>
    <t>Mimicry</t>
  </si>
  <si>
    <t>Me</t>
  </si>
  <si>
    <t>Play Instrument:</t>
  </si>
  <si>
    <t>Poetic Improvisation</t>
  </si>
  <si>
    <t>Everyman skills (professional)</t>
  </si>
  <si>
    <t>Singing</t>
  </si>
  <si>
    <t>Tale Telling</t>
  </si>
  <si>
    <t>Ventriloquism</t>
  </si>
  <si>
    <t>Artistic: Passive</t>
  </si>
  <si>
    <t>Em/In</t>
  </si>
  <si>
    <t>Music</t>
  </si>
  <si>
    <t>Pr</t>
  </si>
  <si>
    <t>Painting</t>
  </si>
  <si>
    <t>Category or Skill</t>
  </si>
  <si>
    <t>Poetry</t>
  </si>
  <si>
    <t>Re</t>
  </si>
  <si>
    <t>Sculpting</t>
  </si>
  <si>
    <t>Athletics: Brawn</t>
  </si>
  <si>
    <t>St/Co</t>
  </si>
  <si>
    <t>Athletic Games (Brawn)</t>
  </si>
  <si>
    <t>Jumping</t>
  </si>
  <si>
    <t>Power-Striking</t>
  </si>
  <si>
    <t>Power-Throwing</t>
  </si>
  <si>
    <t>Weight-Lifting</t>
  </si>
  <si>
    <t>Athletics: Endurance</t>
  </si>
  <si>
    <t>Co/Ag</t>
  </si>
  <si>
    <t>Restricted skills (racial)</t>
  </si>
  <si>
    <t>Athletic Games (Endurance)</t>
  </si>
  <si>
    <t>Co</t>
  </si>
  <si>
    <t>2 rankilla 1 rankki</t>
  </si>
  <si>
    <t>Distance Running</t>
  </si>
  <si>
    <t>Rowing</t>
  </si>
  <si>
    <t>Scaling</t>
  </si>
  <si>
    <t>Sprinting</t>
  </si>
  <si>
    <t>Qu</t>
  </si>
  <si>
    <t>Swimming</t>
  </si>
  <si>
    <t>Restricted Skills (professional)</t>
  </si>
  <si>
    <t>Athletics: Gymnastics</t>
  </si>
  <si>
    <t>Ag/Qu</t>
  </si>
  <si>
    <t>Acrobatics</t>
  </si>
  <si>
    <t>Athletic Games (Gymnastic)</t>
  </si>
  <si>
    <t>Climbing</t>
  </si>
  <si>
    <t>Contortions</t>
  </si>
  <si>
    <t>Occupational (professional)</t>
  </si>
  <si>
    <t>Diving</t>
  </si>
  <si>
    <t>1 rankilla 3 rankkia</t>
  </si>
  <si>
    <t>Flying/Gliding</t>
  </si>
  <si>
    <t>In</t>
  </si>
  <si>
    <t>Juggling</t>
  </si>
  <si>
    <t>Professional Qualifier</t>
  </si>
  <si>
    <t>Pole-Vaulting</t>
  </si>
  <si>
    <t>Lifestyle Skill(s)</t>
  </si>
  <si>
    <t>Rappelling</t>
  </si>
  <si>
    <t>Stat Gains</t>
  </si>
  <si>
    <t>Skating</t>
  </si>
  <si>
    <t>Skiing</t>
  </si>
  <si>
    <t>Stilt-Walking</t>
  </si>
  <si>
    <t>Surfing</t>
  </si>
  <si>
    <t>Tightrope-Walking</t>
  </si>
  <si>
    <t>Tumbling</t>
  </si>
  <si>
    <t xml:space="preserve">Awareness: Perception </t>
  </si>
  <si>
    <t>In/SD</t>
  </si>
  <si>
    <t>Alertness</t>
  </si>
  <si>
    <t>Sense Ambush</t>
  </si>
  <si>
    <t>Em</t>
  </si>
  <si>
    <t>Awareness: Searching</t>
  </si>
  <si>
    <t>In/Re</t>
  </si>
  <si>
    <t>Detect Traps</t>
  </si>
  <si>
    <t>Lie Perception</t>
  </si>
  <si>
    <t>Locate Hidden</t>
  </si>
  <si>
    <t>Observation</t>
  </si>
  <si>
    <t>Poison Perception</t>
  </si>
  <si>
    <t>Reading Tracks</t>
  </si>
  <si>
    <t>Surveillance</t>
  </si>
  <si>
    <t>Tracking</t>
  </si>
  <si>
    <t>Awareness: Senses</t>
  </si>
  <si>
    <t>Combat Awareness (situat.)</t>
  </si>
  <si>
    <t>Direction Sense</t>
  </si>
  <si>
    <t>R</t>
  </si>
  <si>
    <t>Reality Awareness</t>
  </si>
  <si>
    <t>Sense Awareness: Hearing</t>
  </si>
  <si>
    <t>Sense Awareness: Sight</t>
  </si>
  <si>
    <t>Sense Awareness: Smell</t>
  </si>
  <si>
    <t xml:space="preserve">Sense Awareness: Taste </t>
  </si>
  <si>
    <t>Sense Awareness: Touch</t>
  </si>
  <si>
    <t>Scouting Awareness (situat.)</t>
  </si>
  <si>
    <t>Sleep Awareness (situat.)</t>
  </si>
  <si>
    <t>Spatial Location Awareness</t>
  </si>
  <si>
    <t>Time Sense</t>
  </si>
  <si>
    <t>Body Development</t>
  </si>
  <si>
    <t>Co/SD</t>
  </si>
  <si>
    <t xml:space="preserve">Combat Maneuvers </t>
  </si>
  <si>
    <t>Adrenal Deflecting</t>
  </si>
  <si>
    <t>Mounted Combat</t>
  </si>
  <si>
    <t>Quickdraw</t>
  </si>
  <si>
    <t>Reverse Stroke</t>
  </si>
  <si>
    <t>Subdual</t>
  </si>
  <si>
    <t>Swashbuckling</t>
  </si>
  <si>
    <t>Tumbling Evasion</t>
  </si>
  <si>
    <t>Two-Weapon Fighting</t>
  </si>
  <si>
    <t>Communications</t>
  </si>
  <si>
    <t>Re/Me</t>
  </si>
  <si>
    <t>SPK</t>
  </si>
  <si>
    <t>WRI</t>
  </si>
  <si>
    <t>Distribute to languages</t>
  </si>
  <si>
    <t>Lip Reading</t>
  </si>
  <si>
    <t>Magical Languages</t>
  </si>
  <si>
    <t>Signaling</t>
  </si>
  <si>
    <t xml:space="preserve">Crafts </t>
  </si>
  <si>
    <t>Ag/Me</t>
  </si>
  <si>
    <t>Cooking</t>
  </si>
  <si>
    <t>Drafting</t>
  </si>
  <si>
    <t>Embroidery</t>
  </si>
  <si>
    <t>Fletching</t>
  </si>
  <si>
    <t>Horticulture</t>
  </si>
  <si>
    <t>Leather-Crafts (general)</t>
  </si>
  <si>
    <t>_____________________</t>
  </si>
  <si>
    <t>Masonry</t>
  </si>
  <si>
    <t>Metal-Crafts (general)</t>
  </si>
  <si>
    <t>Rope Mastery</t>
  </si>
  <si>
    <t>Scribing</t>
  </si>
  <si>
    <t>Service</t>
  </si>
  <si>
    <t>Sewing/Weaving</t>
  </si>
  <si>
    <t>Skinning</t>
  </si>
  <si>
    <t>Stone-Crafts (general)</t>
  </si>
  <si>
    <t>Wood-Crafts (general)</t>
  </si>
  <si>
    <t>Directed Spells</t>
  </si>
  <si>
    <t>Ag/SD</t>
  </si>
  <si>
    <t>Directed Spell (per spell)</t>
  </si>
  <si>
    <t xml:space="preserve">Influence </t>
  </si>
  <si>
    <t>Bribery</t>
  </si>
  <si>
    <t>Diplomacy</t>
  </si>
  <si>
    <t>Duping</t>
  </si>
  <si>
    <t>Interrogation</t>
  </si>
  <si>
    <t>Leadership</t>
  </si>
  <si>
    <t>Propaganda</t>
  </si>
  <si>
    <t>Public Speaking</t>
  </si>
  <si>
    <t>Seduction</t>
  </si>
  <si>
    <t>Trading</t>
  </si>
  <si>
    <t>Lore: General</t>
  </si>
  <si>
    <t>Me/Re</t>
  </si>
  <si>
    <t>Culture Lore (general)</t>
  </si>
  <si>
    <t>Culture Lore (own)</t>
  </si>
  <si>
    <t>Fauna Lore</t>
  </si>
  <si>
    <t>Flora Lore</t>
  </si>
  <si>
    <t>Heraldry</t>
  </si>
  <si>
    <t>History (general)</t>
  </si>
  <si>
    <t xml:space="preserve">History: </t>
  </si>
  <si>
    <t>Philosophy</t>
  </si>
  <si>
    <t>Region Lore</t>
  </si>
  <si>
    <t>Religion (general)</t>
  </si>
  <si>
    <t xml:space="preserve">Religion: </t>
  </si>
  <si>
    <t xml:space="preserve">Lore: Magical </t>
  </si>
  <si>
    <t>Artifact Lore</t>
  </si>
  <si>
    <t>Spell Lore</t>
  </si>
  <si>
    <t>Undead Lore</t>
  </si>
  <si>
    <t>Warding Lore</t>
  </si>
  <si>
    <t>Lore: Obscure</t>
  </si>
  <si>
    <t>Demon/Devil Lore</t>
  </si>
  <si>
    <t>Dragon Lore</t>
  </si>
  <si>
    <t>Elemental Lore</t>
  </si>
  <si>
    <t>Xeno-Lore</t>
  </si>
  <si>
    <t xml:space="preserve">Lore: Technical </t>
  </si>
  <si>
    <t>Herb Lore / Prepare Herbs</t>
  </si>
  <si>
    <t>Lock Lore</t>
  </si>
  <si>
    <t>Metal Lore</t>
  </si>
  <si>
    <t>Poison Lore / Prepare Poison</t>
  </si>
  <si>
    <t>Stone Lore</t>
  </si>
  <si>
    <t>Trading Lore</t>
  </si>
  <si>
    <t xml:space="preserve">Martial Arts: Striking </t>
  </si>
  <si>
    <t>Boxing</t>
  </si>
  <si>
    <t>Strikes 4</t>
  </si>
  <si>
    <t>Strikes 3</t>
  </si>
  <si>
    <t>Strikes 2</t>
  </si>
  <si>
    <t>Strikes 1</t>
  </si>
  <si>
    <t>Tackling</t>
  </si>
  <si>
    <t>Martial Arts: Sweeps</t>
  </si>
  <si>
    <t>Blocking</t>
  </si>
  <si>
    <t>Sweeps 4</t>
  </si>
  <si>
    <t>Sweeps 3</t>
  </si>
  <si>
    <t>Sweeps 2</t>
  </si>
  <si>
    <t>Sweeps 1</t>
  </si>
  <si>
    <t>Wrestling</t>
  </si>
  <si>
    <t>Outdoor: Animal</t>
  </si>
  <si>
    <t>Em/Ag</t>
  </si>
  <si>
    <t>Animal Healing</t>
  </si>
  <si>
    <t>Animal Mastery</t>
  </si>
  <si>
    <t>Animal Training / Handling</t>
  </si>
  <si>
    <t>Driving</t>
  </si>
  <si>
    <t>Riding</t>
  </si>
  <si>
    <t xml:space="preserve">Outdoor: Environmental </t>
  </si>
  <si>
    <t>SD/In</t>
  </si>
  <si>
    <t>Caving</t>
  </si>
  <si>
    <t>Foraging (general)</t>
  </si>
  <si>
    <t xml:space="preserve">Foraging: </t>
  </si>
  <si>
    <t>Hunting / Trapping (outdoor)</t>
  </si>
  <si>
    <t>Star-Gazing</t>
  </si>
  <si>
    <t>Survival (general)</t>
  </si>
  <si>
    <t>Survival:</t>
  </si>
  <si>
    <t>Weather Watching</t>
  </si>
  <si>
    <t>Power Awareness</t>
  </si>
  <si>
    <t>Attunement</t>
  </si>
  <si>
    <t>Divination</t>
  </si>
  <si>
    <t>Power Perception</t>
  </si>
  <si>
    <t>Read Runes</t>
  </si>
  <si>
    <t>Power Manipulations</t>
  </si>
  <si>
    <t>Magic Ritual</t>
  </si>
  <si>
    <t xml:space="preserve">Spell Mastery: </t>
  </si>
  <si>
    <t>Transcend Armour</t>
  </si>
  <si>
    <t>Power Point Development</t>
  </si>
  <si>
    <t xml:space="preserve">Science/Analytic: Basic </t>
  </si>
  <si>
    <t>Basic Math</t>
  </si>
  <si>
    <t>Research</t>
  </si>
  <si>
    <t>Science/Analytic: Specialized</t>
  </si>
  <si>
    <t>Advanced Math</t>
  </si>
  <si>
    <t>Anthropology</t>
  </si>
  <si>
    <t>Alchemy</t>
  </si>
  <si>
    <t>Astronomy</t>
  </si>
  <si>
    <t>Biochemistry</t>
  </si>
  <si>
    <t>Psychology</t>
  </si>
  <si>
    <t xml:space="preserve">Self Control </t>
  </si>
  <si>
    <t>SD/Pr</t>
  </si>
  <si>
    <t>Adrenal Concentration</t>
  </si>
  <si>
    <t>Adrenal Landing</t>
  </si>
  <si>
    <t>Adrenal Leaping (Jumping)</t>
  </si>
  <si>
    <t>Adrenal QuickDraw</t>
  </si>
  <si>
    <t>Adrenal Stabilization</t>
  </si>
  <si>
    <t>Adrenal Strength</t>
  </si>
  <si>
    <t>Cleansing Trance</t>
  </si>
  <si>
    <t>Control Lycanthropy</t>
  </si>
  <si>
    <t>Death Trance</t>
  </si>
  <si>
    <t>Frenzy</t>
  </si>
  <si>
    <t>Healing Trance</t>
  </si>
  <si>
    <t>Meditation</t>
  </si>
  <si>
    <t>Mnemonics</t>
  </si>
  <si>
    <t>Sleep Trance</t>
  </si>
  <si>
    <t>Stunned Maneuv. / Removal</t>
  </si>
  <si>
    <t>Special Attacks</t>
  </si>
  <si>
    <t>Disarm _______________</t>
  </si>
  <si>
    <t>Jousting</t>
  </si>
  <si>
    <t>Special Defenses</t>
  </si>
  <si>
    <t>Adrenal Defense</t>
  </si>
  <si>
    <t>Adrenal Toughness</t>
  </si>
  <si>
    <t xml:space="preserve">Subterfuge: Attack </t>
  </si>
  <si>
    <t>Ambush</t>
  </si>
  <si>
    <t>Silent Attack</t>
  </si>
  <si>
    <t>Subterfuge: Mechanics</t>
  </si>
  <si>
    <t>In/Ag</t>
  </si>
  <si>
    <t>Camouflage</t>
  </si>
  <si>
    <t>Disarming Traps</t>
  </si>
  <si>
    <t>Disguise</t>
  </si>
  <si>
    <t>Counterfeiting</t>
  </si>
  <si>
    <t>Forgery</t>
  </si>
  <si>
    <t>Hiding Items</t>
  </si>
  <si>
    <t>Picking Locks</t>
  </si>
  <si>
    <t>Setting/Building Traps (indoor)</t>
  </si>
  <si>
    <t>Using/Removing Poison</t>
  </si>
  <si>
    <t>Subterfuge: Stealth</t>
  </si>
  <si>
    <t>Hiding</t>
  </si>
  <si>
    <t>Picking Pockets</t>
  </si>
  <si>
    <t>Stalking</t>
  </si>
  <si>
    <t>Trickery</t>
  </si>
  <si>
    <t>Technical/Trade: General</t>
  </si>
  <si>
    <t>Begging</t>
  </si>
  <si>
    <t>First Aid</t>
  </si>
  <si>
    <t>Gambling</t>
  </si>
  <si>
    <t>Mapping / Orienteering</t>
  </si>
  <si>
    <t>Operating Himolentolaite</t>
  </si>
  <si>
    <t>Sailing</t>
  </si>
  <si>
    <t>Tactical Games</t>
  </si>
  <si>
    <t>Using Prepared Herbs</t>
  </si>
  <si>
    <t>Technical/Trade: Professional</t>
  </si>
  <si>
    <t>Architecture</t>
  </si>
  <si>
    <t>Diagnostics</t>
  </si>
  <si>
    <t>Dowsing</t>
  </si>
  <si>
    <t>Drowsing</t>
  </si>
  <si>
    <t>Engineering</t>
  </si>
  <si>
    <t>Machination</t>
  </si>
  <si>
    <t>Military Organization</t>
  </si>
  <si>
    <t>Mining</t>
  </si>
  <si>
    <t>Sanity Healing</t>
  </si>
  <si>
    <t>Second Aid</t>
  </si>
  <si>
    <t>Surgery</t>
  </si>
  <si>
    <t xml:space="preserve">Technical/Trade: Vocational </t>
  </si>
  <si>
    <t>Me/In</t>
  </si>
  <si>
    <t>Appraisal</t>
  </si>
  <si>
    <t>Boat Pilot</t>
  </si>
  <si>
    <t>Cartography / Navigation</t>
  </si>
  <si>
    <t>Evaluate Armour</t>
  </si>
  <si>
    <t>Evaluate Metal</t>
  </si>
  <si>
    <t>Evaluate Stone</t>
  </si>
  <si>
    <t>Evaluate Weapon</t>
  </si>
  <si>
    <t>Gimmickry</t>
  </si>
  <si>
    <t>Hypnosis</t>
  </si>
  <si>
    <t>Midwifery</t>
  </si>
  <si>
    <t>Siege Engineering</t>
  </si>
  <si>
    <t xml:space="preserve">Tactics </t>
  </si>
  <si>
    <t xml:space="preserve">Urban </t>
  </si>
  <si>
    <t>In/Pr</t>
  </si>
  <si>
    <t>Contacting</t>
  </si>
  <si>
    <t>Mingling</t>
  </si>
  <si>
    <t>Scrounging</t>
  </si>
  <si>
    <t>Streetwise</t>
  </si>
  <si>
    <t xml:space="preserve">Weapon: 1-H Krush </t>
  </si>
  <si>
    <t>Weapon CAT 1</t>
  </si>
  <si>
    <t>Starting Weapon choices</t>
  </si>
  <si>
    <t>1-H Krush</t>
  </si>
  <si>
    <t>Weapon skill 1</t>
  </si>
  <si>
    <t>Weapon CAT 2</t>
  </si>
  <si>
    <t xml:space="preserve">Weapon: 1-H Edged </t>
  </si>
  <si>
    <t>Weapon skill 2</t>
  </si>
  <si>
    <t>Weapon CAT 3</t>
  </si>
  <si>
    <t>Weapon skill 3</t>
  </si>
  <si>
    <t xml:space="preserve">Weapon: 2-Handed </t>
  </si>
  <si>
    <t>2-Handed</t>
  </si>
  <si>
    <t>Weapon CAT 4</t>
  </si>
  <si>
    <t>Weapon skill 4</t>
  </si>
  <si>
    <t>Weapon: Missile</t>
  </si>
  <si>
    <t>Weapon CAT 5</t>
  </si>
  <si>
    <t>Missile</t>
  </si>
  <si>
    <t>Weapon skill 5</t>
  </si>
  <si>
    <t>Weapon CAT 6</t>
  </si>
  <si>
    <t xml:space="preserve">Weapon: Missile Artillery </t>
  </si>
  <si>
    <t>Weapon skill 6</t>
  </si>
  <si>
    <t>Artillery</t>
  </si>
  <si>
    <t>Weapon: Pole Arms</t>
  </si>
  <si>
    <t>Pole Arm</t>
  </si>
  <si>
    <t xml:space="preserve">Weapon: Thrown </t>
  </si>
  <si>
    <t>Thrown</t>
  </si>
  <si>
    <t>Slaying Techniques</t>
  </si>
  <si>
    <t>Ambush 1</t>
  </si>
  <si>
    <t>Ambush 2</t>
  </si>
  <si>
    <t>Dragon Lore 1</t>
  </si>
  <si>
    <t>Spells: Own Realm Open</t>
  </si>
  <si>
    <t>Dragon Lore 2</t>
  </si>
  <si>
    <t>Spells: Own Realm Closed</t>
  </si>
  <si>
    <t>Spells: Own Realm Own Base</t>
  </si>
  <si>
    <t>Spells: Own Realm Other Base</t>
  </si>
  <si>
    <t>Spells: Own Realm Training Package</t>
  </si>
  <si>
    <t>Training Package List</t>
  </si>
  <si>
    <t>Spells: Other Realm Training Package</t>
  </si>
  <si>
    <t>Spells: Arcane Other Base</t>
  </si>
  <si>
    <t>Arcane Other Base List</t>
  </si>
  <si>
    <t>Spells: Arcane Open</t>
  </si>
  <si>
    <t>Spells: Arcane Closed</t>
  </si>
  <si>
    <t>Spells: Other Realm Open</t>
  </si>
  <si>
    <t>Spells: Other Realm Closed</t>
  </si>
  <si>
    <t>Spells: Other Realm Base</t>
  </si>
  <si>
    <t>TP 1 Cost</t>
  </si>
  <si>
    <t>--</t>
  </si>
  <si>
    <t>TP 2 Cost</t>
  </si>
  <si>
    <t>TP 3 Cost</t>
  </si>
  <si>
    <t xml:space="preserve">Total Cost of Ranks </t>
  </si>
  <si>
    <t>Stat</t>
  </si>
  <si>
    <t>Total Number of Ranks</t>
  </si>
  <si>
    <t>Standard Category Progression</t>
  </si>
  <si>
    <t>Standard Skill Progression</t>
  </si>
  <si>
    <t>Spell Skill Progression</t>
  </si>
  <si>
    <t>Combined Skill Progression</t>
  </si>
  <si>
    <t>Body Development Progression</t>
  </si>
  <si>
    <t>Power Point Progression</t>
  </si>
  <si>
    <t>Awareness Skill Progression</t>
  </si>
  <si>
    <t>EXP</t>
  </si>
  <si>
    <t>Level</t>
  </si>
  <si>
    <t>Skill Costs</t>
  </si>
  <si>
    <t>Fighter</t>
  </si>
  <si>
    <t>Thief</t>
  </si>
  <si>
    <t>Rogue</t>
  </si>
  <si>
    <t>Warrior Monk</t>
  </si>
  <si>
    <t>Layman</t>
  </si>
  <si>
    <t>Magician</t>
  </si>
  <si>
    <t>Illusionist</t>
  </si>
  <si>
    <t>Cleric</t>
  </si>
  <si>
    <t>Animist</t>
  </si>
  <si>
    <t>Mentalist</t>
  </si>
  <si>
    <t>Lay Healer</t>
  </si>
  <si>
    <t>Healer (ei käytössä)</t>
  </si>
  <si>
    <t>Mystic</t>
  </si>
  <si>
    <t>Ranger</t>
  </si>
  <si>
    <t>Paladin</t>
  </si>
  <si>
    <t>Monk</t>
  </si>
  <si>
    <t>Dabbler</t>
  </si>
  <si>
    <t>Bard</t>
  </si>
  <si>
    <t>Magent</t>
  </si>
  <si>
    <t>Arcanist (AC)</t>
  </si>
  <si>
    <t>Wizard (AC)</t>
  </si>
  <si>
    <t>Chaotic (AC)</t>
  </si>
  <si>
    <t>Magehunter (AC)</t>
  </si>
  <si>
    <t>Runemage (EC)</t>
  </si>
  <si>
    <t>Mana Molder (EC)</t>
  </si>
  <si>
    <t>Warrior Mage (EC)</t>
  </si>
  <si>
    <t>Arms Master (MC)</t>
  </si>
  <si>
    <t>Enchanter (MC)</t>
  </si>
  <si>
    <t>Seer (MC)</t>
  </si>
  <si>
    <t>Astrologer (MC)</t>
  </si>
  <si>
    <t>Summoner (CC)</t>
  </si>
  <si>
    <t>Warlock (CC)</t>
  </si>
  <si>
    <t>Mythic (CC)</t>
  </si>
  <si>
    <t>Priest of Agriculture</t>
  </si>
  <si>
    <t>Priest of Ancestors</t>
  </si>
  <si>
    <t>Priest of Animals</t>
  </si>
  <si>
    <t>Priest of Arts</t>
  </si>
  <si>
    <t>Priest of Birth, Children</t>
  </si>
  <si>
    <t>Priest of Community</t>
  </si>
  <si>
    <t>Priest of Competition</t>
  </si>
  <si>
    <t>Priest of Crafts</t>
  </si>
  <si>
    <t>Priest of Culture</t>
  </si>
  <si>
    <t>Priest of Darkness, Night</t>
  </si>
  <si>
    <t>Priest of Dawn</t>
  </si>
  <si>
    <t>Priest of Death</t>
  </si>
  <si>
    <t>Priest of Disease</t>
  </si>
  <si>
    <t>Priest of Earth</t>
  </si>
  <si>
    <t>Priest of Fate, Destiny</t>
  </si>
  <si>
    <t>Priest of Fertility</t>
  </si>
  <si>
    <t>Priest of Fire</t>
  </si>
  <si>
    <t>Priest of Fortune, Luck</t>
  </si>
  <si>
    <t>Priest of Guardianship</t>
  </si>
  <si>
    <t>Priest of Healing</t>
  </si>
  <si>
    <t>Priest of Hunting</t>
  </si>
  <si>
    <t>Priest of Justice, Revenge</t>
  </si>
  <si>
    <t>Priest of Light</t>
  </si>
  <si>
    <t>Priest of Lightning</t>
  </si>
  <si>
    <t>Priest of Literature</t>
  </si>
  <si>
    <t>Priest of Love</t>
  </si>
  <si>
    <t>Priest of Magic</t>
  </si>
  <si>
    <t>Priest of Marriage</t>
  </si>
  <si>
    <t>Priest of Messengers</t>
  </si>
  <si>
    <t>Priest of Metalwork</t>
  </si>
  <si>
    <t>Priest of Mischief/Trickery</t>
  </si>
  <si>
    <t>Priest of Moon</t>
  </si>
  <si>
    <t>Priest of Music, Dance</t>
  </si>
  <si>
    <t>Priest of Nature</t>
  </si>
  <si>
    <t>Priest of Ocean, Rivers</t>
  </si>
  <si>
    <t>Priest of Oracles</t>
  </si>
  <si>
    <t>Priest of Peace</t>
  </si>
  <si>
    <t>Priest of Prosperity</t>
  </si>
  <si>
    <t>Priest of Redemption</t>
  </si>
  <si>
    <t>Priest of Rulership</t>
  </si>
  <si>
    <t>Priest of Seasons</t>
  </si>
  <si>
    <t>Priest of Sky, Weather</t>
  </si>
  <si>
    <t>Priest of Strength</t>
  </si>
  <si>
    <t>Priest of Sun</t>
  </si>
  <si>
    <t>Priest of Thunder</t>
  </si>
  <si>
    <t>Priest of Time</t>
  </si>
  <si>
    <t>Priest of Trade</t>
  </si>
  <si>
    <t>Priest of Vegetation</t>
  </si>
  <si>
    <t>Priest of War</t>
  </si>
  <si>
    <t>Priest of Wind</t>
  </si>
  <si>
    <t>Priest of Wisdom</t>
  </si>
  <si>
    <t>Barbarian (FRP)</t>
  </si>
  <si>
    <t>Outrider (FRP)</t>
  </si>
  <si>
    <t>Sage (FRP)</t>
  </si>
  <si>
    <t>Swashbuckler (FRP)</t>
  </si>
  <si>
    <t>Drughân (Wose only)</t>
  </si>
  <si>
    <t>Vracara (Variag only)</t>
  </si>
  <si>
    <t>Kekhavra (Variag only)</t>
  </si>
  <si>
    <t>Barbarian (MERP)</t>
  </si>
  <si>
    <t>Alchemist-Ess</t>
  </si>
  <si>
    <t>Alchemist-Chan</t>
  </si>
  <si>
    <t>Alchemist-Ment</t>
  </si>
  <si>
    <t>NEW PROF</t>
  </si>
  <si>
    <t>Sd</t>
  </si>
  <si>
    <t>Ess</t>
  </si>
  <si>
    <t>Chan</t>
  </si>
  <si>
    <t>Ment</t>
  </si>
  <si>
    <t>Pois</t>
  </si>
  <si>
    <t>Dis</t>
  </si>
  <si>
    <t>Soul D</t>
  </si>
  <si>
    <t>Bcgr</t>
  </si>
  <si>
    <t>RecX</t>
  </si>
  <si>
    <t>Chan/Ment</t>
  </si>
  <si>
    <t>Ess/ment</t>
  </si>
  <si>
    <t>Ess/Chan</t>
  </si>
  <si>
    <t>Arcane</t>
  </si>
  <si>
    <t>Arhunerim / Hillmen</t>
  </si>
  <si>
    <t>Common man</t>
  </si>
  <si>
    <t>High Men</t>
  </si>
  <si>
    <t>Corsair</t>
  </si>
  <si>
    <t>Dwarf</t>
  </si>
  <si>
    <t>Noldo</t>
  </si>
  <si>
    <t>Silvan</t>
  </si>
  <si>
    <t>Sinda</t>
  </si>
  <si>
    <t>Half Elf</t>
  </si>
  <si>
    <t>Eriedain</t>
  </si>
  <si>
    <t>Bear tribes</t>
  </si>
  <si>
    <t>Eriedain / Northman</t>
  </si>
  <si>
    <t>Haradrim, N, Nomads</t>
  </si>
  <si>
    <t>Haradrim, S, Nomads</t>
  </si>
  <si>
    <t>Halfling</t>
  </si>
  <si>
    <t>Lossoth</t>
  </si>
  <si>
    <t>Talatherim</t>
  </si>
  <si>
    <t>Chey</t>
  </si>
  <si>
    <t>Womaw</t>
  </si>
  <si>
    <t>Urd</t>
  </si>
  <si>
    <t>Umli</t>
  </si>
  <si>
    <t>Woses</t>
  </si>
  <si>
    <t>Common Orc</t>
  </si>
  <si>
    <t>Uruk-Hai</t>
  </si>
  <si>
    <t>Half Orcs</t>
  </si>
  <si>
    <t>Drow</t>
  </si>
  <si>
    <t>Trolls</t>
  </si>
  <si>
    <t>(1)</t>
  </si>
  <si>
    <t>(2)</t>
  </si>
  <si>
    <t>(3)</t>
  </si>
  <si>
    <t>(4)</t>
  </si>
  <si>
    <t>(5)</t>
  </si>
  <si>
    <t>(6)</t>
  </si>
  <si>
    <t>(7)</t>
  </si>
  <si>
    <t>(8)</t>
  </si>
  <si>
    <t>(9)</t>
  </si>
  <si>
    <t>2/2/2</t>
  </si>
  <si>
    <t>4/4/4</t>
  </si>
  <si>
    <t>3/3/3</t>
  </si>
  <si>
    <t>10</t>
  </si>
  <si>
    <t>11</t>
  </si>
  <si>
    <t>7/7/7</t>
  </si>
  <si>
    <t>5/5/5</t>
  </si>
  <si>
    <t>6/6/6</t>
  </si>
  <si>
    <t>8/8/8</t>
  </si>
  <si>
    <t>High Man</t>
  </si>
  <si>
    <t>Arthedain</t>
  </si>
  <si>
    <t>Dunlending</t>
  </si>
  <si>
    <t>Hillman</t>
  </si>
  <si>
    <t>Rural Man</t>
  </si>
  <si>
    <t>Urban Common Man</t>
  </si>
  <si>
    <t>Urban High Man</t>
  </si>
  <si>
    <t>Dunadan</t>
  </si>
  <si>
    <t>Gondrian</t>
  </si>
  <si>
    <t>Black Numenorean</t>
  </si>
  <si>
    <t>Umbarean</t>
  </si>
  <si>
    <t>Cardolan</t>
  </si>
  <si>
    <t>Rhudaurian</t>
  </si>
  <si>
    <t>Eothraim</t>
  </si>
  <si>
    <t>Dorwinadan</t>
  </si>
  <si>
    <t>Northman</t>
  </si>
  <si>
    <t>Gramuz</t>
  </si>
  <si>
    <t>Lake-man</t>
  </si>
  <si>
    <t>Dale-folk</t>
  </si>
  <si>
    <t>Riverman</t>
  </si>
  <si>
    <t>Woodman</t>
  </si>
  <si>
    <t>Esterav</t>
  </si>
  <si>
    <t>Haradrim North</t>
  </si>
  <si>
    <t>Haradrim South</t>
  </si>
  <si>
    <t>Harfoot</t>
  </si>
  <si>
    <t>Stoor</t>
  </si>
  <si>
    <t>Fallohide</t>
  </si>
  <si>
    <t>Lumimies</t>
  </si>
  <si>
    <t>Jäämies</t>
  </si>
  <si>
    <t>Merimetsästäjä</t>
  </si>
  <si>
    <t>Variag</t>
  </si>
  <si>
    <t>Asdriag</t>
  </si>
  <si>
    <t>Brygath</t>
  </si>
  <si>
    <t>Easterling</t>
  </si>
  <si>
    <t>Wainrider</t>
  </si>
  <si>
    <t>Gathmarig</t>
  </si>
  <si>
    <t>Sagath</t>
  </si>
  <si>
    <t>Kykurian</t>
  </si>
  <si>
    <t>Odhriag</t>
  </si>
  <si>
    <t>Wose</t>
  </si>
  <si>
    <t>Drow Male</t>
  </si>
  <si>
    <t>Drow Female</t>
  </si>
  <si>
    <t>Cave Troll</t>
  </si>
  <si>
    <t>Snow Troll</t>
  </si>
  <si>
    <t>Half Troll</t>
  </si>
  <si>
    <t>Olog-hai</t>
  </si>
  <si>
    <t>Wood Troll</t>
  </si>
  <si>
    <t>Stone Troll</t>
  </si>
  <si>
    <t>Kiran</t>
  </si>
  <si>
    <t>Hathorian</t>
  </si>
  <si>
    <t>1/1/1</t>
  </si>
  <si>
    <t>9</t>
  </si>
  <si>
    <t>8</t>
  </si>
  <si>
    <t>Armour Light</t>
  </si>
  <si>
    <t>Bear Tribe</t>
  </si>
  <si>
    <t>2/5</t>
  </si>
  <si>
    <t>2/4</t>
  </si>
  <si>
    <t>1/5</t>
  </si>
  <si>
    <t>1/4</t>
  </si>
  <si>
    <t>2/6</t>
  </si>
  <si>
    <t>1/2</t>
  </si>
  <si>
    <t>Black Númenórean</t>
  </si>
  <si>
    <t>Rigid Leather</t>
  </si>
  <si>
    <t>1/3</t>
  </si>
  <si>
    <t>Armour Medium</t>
  </si>
  <si>
    <t>3/6</t>
  </si>
  <si>
    <t>6</t>
  </si>
  <si>
    <t>7</t>
  </si>
  <si>
    <t>5</t>
  </si>
  <si>
    <t>4</t>
  </si>
  <si>
    <t>3/7</t>
  </si>
  <si>
    <t>3/9</t>
  </si>
  <si>
    <t>4/9</t>
  </si>
  <si>
    <t>3</t>
  </si>
  <si>
    <t>2/7</t>
  </si>
  <si>
    <t>Troll</t>
  </si>
  <si>
    <t>Athletic Brawn</t>
  </si>
  <si>
    <t>Orc</t>
  </si>
  <si>
    <t>Athletic Endurance</t>
  </si>
  <si>
    <t>2/9</t>
  </si>
  <si>
    <t>3/10</t>
  </si>
  <si>
    <t>3/12</t>
  </si>
  <si>
    <t>5/14</t>
  </si>
  <si>
    <t>4/14</t>
  </si>
  <si>
    <t>4/12</t>
  </si>
  <si>
    <t>2/10</t>
  </si>
  <si>
    <t>1/ 5</t>
  </si>
  <si>
    <t>2</t>
  </si>
  <si>
    <t>Common Men</t>
  </si>
  <si>
    <t>Dale</t>
  </si>
  <si>
    <t>Athletic Gymnastic</t>
  </si>
  <si>
    <t>3/ 7</t>
  </si>
  <si>
    <t>5/12</t>
  </si>
  <si>
    <t>4/10</t>
  </si>
  <si>
    <t>15</t>
  </si>
  <si>
    <t>12</t>
  </si>
  <si>
    <t>6/14</t>
  </si>
  <si>
    <t>16</t>
  </si>
  <si>
    <t>Dark Tribes</t>
  </si>
  <si>
    <t>Drel</t>
  </si>
  <si>
    <t>Awareness Perceptions</t>
  </si>
  <si>
    <t>18</t>
  </si>
  <si>
    <t>14</t>
  </si>
  <si>
    <t>6/12</t>
  </si>
  <si>
    <t>2/2/ 2</t>
  </si>
  <si>
    <t>Awareness Searching</t>
  </si>
  <si>
    <t>20</t>
  </si>
  <si>
    <t>Arhunerim</t>
  </si>
  <si>
    <t>Lore General</t>
  </si>
  <si>
    <t>Éothraim</t>
  </si>
  <si>
    <t>Own Region</t>
  </si>
  <si>
    <t>3/5</t>
  </si>
  <si>
    <t>Own Culture</t>
  </si>
  <si>
    <t>Hobbit</t>
  </si>
  <si>
    <t>Outdoor Animal</t>
  </si>
  <si>
    <t>3/8</t>
  </si>
  <si>
    <t>Gondorian</t>
  </si>
  <si>
    <t>Outdoor Environment</t>
  </si>
  <si>
    <t>Half-elf</t>
  </si>
  <si>
    <t>Science Basic</t>
  </si>
  <si>
    <t>4/7</t>
  </si>
  <si>
    <t>Half-orc</t>
  </si>
  <si>
    <t>Half Orc</t>
  </si>
  <si>
    <t>Half-troll</t>
  </si>
  <si>
    <t>Subterfuge Stealth</t>
  </si>
  <si>
    <t xml:space="preserve">Science/Analytic: Special </t>
  </si>
  <si>
    <t>Tech. General</t>
  </si>
  <si>
    <t>Urban Skill</t>
  </si>
  <si>
    <t>2/8</t>
  </si>
  <si>
    <t>4/11</t>
  </si>
  <si>
    <t>Hill Troll</t>
  </si>
  <si>
    <t>35</t>
  </si>
  <si>
    <t>30</t>
  </si>
  <si>
    <t>40</t>
  </si>
  <si>
    <t>25</t>
  </si>
  <si>
    <t>8/15</t>
  </si>
  <si>
    <t>22</t>
  </si>
  <si>
    <t>6/6</t>
  </si>
  <si>
    <t>5/5</t>
  </si>
  <si>
    <t>N/A</t>
  </si>
  <si>
    <t>Arctic Men</t>
  </si>
  <si>
    <t>120*</t>
  </si>
  <si>
    <t>50*</t>
  </si>
  <si>
    <t>60*</t>
  </si>
  <si>
    <t>80*</t>
  </si>
  <si>
    <t>10/10</t>
  </si>
  <si>
    <t>110*</t>
  </si>
  <si>
    <t>120</t>
  </si>
  <si>
    <t>Weapn skill 2</t>
  </si>
  <si>
    <t>90*</t>
  </si>
  <si>
    <t>70*</t>
  </si>
  <si>
    <t>40*</t>
  </si>
  <si>
    <t>10/10*</t>
  </si>
  <si>
    <t>12*</t>
  </si>
  <si>
    <t>30*</t>
  </si>
  <si>
    <t>100*</t>
  </si>
  <si>
    <t>90</t>
  </si>
  <si>
    <t>105*</t>
  </si>
  <si>
    <t>95*</t>
  </si>
  <si>
    <t>20*</t>
  </si>
  <si>
    <t>25*</t>
  </si>
  <si>
    <t>45*</t>
  </si>
  <si>
    <t>85*</t>
  </si>
  <si>
    <t>105</t>
  </si>
  <si>
    <t>18*</t>
  </si>
  <si>
    <t>15*</t>
  </si>
  <si>
    <t>10*</t>
  </si>
  <si>
    <t>4/4/4*</t>
  </si>
  <si>
    <t>8/8*</t>
  </si>
  <si>
    <t>28*</t>
  </si>
  <si>
    <t>35*</t>
  </si>
  <si>
    <t>12/12</t>
  </si>
  <si>
    <t>80</t>
  </si>
  <si>
    <t>6/10</t>
  </si>
  <si>
    <t>4/8</t>
  </si>
  <si>
    <t>5/10</t>
  </si>
  <si>
    <t>Hobby Ranks</t>
  </si>
  <si>
    <t xml:space="preserve">3/7 </t>
  </si>
  <si>
    <t>Technical/Trade: Profession</t>
  </si>
  <si>
    <t>ok</t>
  </si>
  <si>
    <t>Everyman</t>
  </si>
  <si>
    <t>Haradrim, N</t>
  </si>
  <si>
    <t>Haradrim, S</t>
  </si>
  <si>
    <t>5/8</t>
  </si>
  <si>
    <t>All skills in Urban category</t>
  </si>
  <si>
    <t>all Crafts-category skills</t>
  </si>
  <si>
    <t>All Outdoor – Animal -category skills</t>
  </si>
  <si>
    <t>Religion (Dorwinrim)</t>
  </si>
  <si>
    <t>Foraging</t>
  </si>
  <si>
    <t>Caving (Hobbit Holes)</t>
  </si>
  <si>
    <t>All Outdoor-environmental category skills</t>
  </si>
  <si>
    <t>Herding</t>
  </si>
  <si>
    <t>Leather-crafting</t>
  </si>
  <si>
    <t>Play Instrument</t>
  </si>
  <si>
    <t>All Outdoor – Animal CAT skills (horses)</t>
  </si>
  <si>
    <t>Any 5 skills in Crafts category</t>
  </si>
  <si>
    <t>Trapping</t>
  </si>
  <si>
    <t>All Outdoor – Animal CAT (horses)</t>
  </si>
  <si>
    <t>Power-striking</t>
  </si>
  <si>
    <t>Metal-crafting</t>
  </si>
  <si>
    <t>Survival (Tundra)</t>
  </si>
  <si>
    <t>Herb Lore</t>
  </si>
  <si>
    <t>Power-throwing</t>
  </si>
  <si>
    <t>Hunting</t>
  </si>
  <si>
    <t>Star Gazing</t>
  </si>
  <si>
    <t>Wood-crafting</t>
  </si>
  <si>
    <t>Survival (tundra)</t>
  </si>
  <si>
    <t>All skills withing 2-Handed Weapons or Pole Arm</t>
  </si>
  <si>
    <t>Smithing</t>
  </si>
  <si>
    <t>Weight-lifting</t>
  </si>
  <si>
    <t>Stone-crafting</t>
  </si>
  <si>
    <t>Survival (underground)</t>
  </si>
  <si>
    <t>Profession Bonuses</t>
  </si>
  <si>
    <t>Barbarian</t>
  </si>
  <si>
    <t>Uruk-hai</t>
  </si>
  <si>
    <t>Restricted</t>
  </si>
  <si>
    <t>All Urban CAT skills</t>
  </si>
  <si>
    <t>All Urban category skills</t>
  </si>
  <si>
    <t>All Science/Analytic – Basic skill CAT</t>
  </si>
  <si>
    <t>All Science/Analytic – Specialized skill CAT</t>
  </si>
  <si>
    <t>Standard Hobby Skills</t>
  </si>
  <si>
    <t>Armour T</t>
  </si>
  <si>
    <t>Armour Name</t>
  </si>
  <si>
    <t>MInMP</t>
  </si>
  <si>
    <t>MaxMP</t>
  </si>
  <si>
    <t>MAP</t>
  </si>
  <si>
    <t>QuP</t>
  </si>
  <si>
    <t>Roll</t>
  </si>
  <si>
    <t>Status</t>
  </si>
  <si>
    <t>copper</t>
  </si>
  <si>
    <t>silver</t>
  </si>
  <si>
    <t>gold</t>
  </si>
  <si>
    <t>Title</t>
  </si>
  <si>
    <t>weight ratio</t>
  </si>
  <si>
    <t>Clothes / None</t>
  </si>
  <si>
    <t>Clothes</t>
  </si>
  <si>
    <t>Former Slave</t>
  </si>
  <si>
    <t>Serf</t>
  </si>
  <si>
    <t>penalty</t>
  </si>
  <si>
    <t>+20 Scaling</t>
  </si>
  <si>
    <t>Any Armour – Light skills</t>
  </si>
  <si>
    <t>Animal Handling</t>
  </si>
  <si>
    <t>Any Armour skill</t>
  </si>
  <si>
    <t>Any Weapon skills</t>
  </si>
  <si>
    <t>+5 Stalk</t>
  </si>
  <si>
    <t>+15 Stalk</t>
  </si>
  <si>
    <t>+3 Stalk</t>
  </si>
  <si>
    <t>+20 Mounted Combat</t>
  </si>
  <si>
    <t>Armour – Light CAT skills</t>
  </si>
  <si>
    <t>+15 Swimming</t>
  </si>
  <si>
    <t>+20 Climbing</t>
  </si>
  <si>
    <t>+5 DB and RR vs Heat/Fire attacks</t>
  </si>
  <si>
    <t>+10 DB and RR vs Heat/Fire attacks</t>
  </si>
  <si>
    <t>+20 DB and RR vs Cold/Ice attacks</t>
  </si>
  <si>
    <t>+10 Mounted Combat</t>
  </si>
  <si>
    <t>+20 Outdoor - Animal CAT (horses)</t>
  </si>
  <si>
    <t>+10 Observation</t>
  </si>
  <si>
    <t>+15 Boat Piloting</t>
  </si>
  <si>
    <t>Armour-Light skills</t>
  </si>
  <si>
    <t>+30 DB and RR vs Heat and Cold attacks</t>
  </si>
  <si>
    <t>Robes</t>
  </si>
  <si>
    <t>Lower Lower Class</t>
  </si>
  <si>
    <t>Peasant</t>
  </si>
  <si>
    <t>+20 Acrotabics</t>
  </si>
  <si>
    <t>+25 Caving</t>
  </si>
  <si>
    <t>+20 DB and RR vs Cold attacks</t>
  </si>
  <si>
    <t>+10 DB and RR vs Cold attacks</t>
  </si>
  <si>
    <t>+15 DB and RR vs Cold attacks</t>
  </si>
  <si>
    <t>+5 DB and RR vs Cold attacks</t>
  </si>
  <si>
    <r>
      <t xml:space="preserve">+20 Boat Piloting </t>
    </r>
    <r>
      <rPr>
        <b/>
        <sz val="7"/>
        <color indexed="8"/>
        <rFont val="Arial"/>
        <family val="2"/>
        <charset val="1"/>
      </rPr>
      <t>(</t>
    </r>
    <r>
      <rPr>
        <sz val="7"/>
        <color indexed="8"/>
        <rFont val="Arial"/>
        <family val="2"/>
        <charset val="1"/>
      </rPr>
      <t>river boat</t>
    </r>
    <r>
      <rPr>
        <b/>
        <sz val="7"/>
        <color indexed="8"/>
        <rFont val="Arial"/>
        <family val="2"/>
        <charset val="1"/>
      </rPr>
      <t>)+20 Boat Piloting (</t>
    </r>
    <r>
      <rPr>
        <sz val="7"/>
        <color indexed="8"/>
        <rFont val="Arial"/>
        <family val="2"/>
        <charset val="1"/>
      </rPr>
      <t>river boat</t>
    </r>
    <r>
      <rPr>
        <b/>
        <sz val="7"/>
        <color indexed="8"/>
        <rFont val="Arial"/>
        <family val="2"/>
        <charset val="1"/>
      </rPr>
      <t>)+20 Boat Piloting (</t>
    </r>
    <r>
      <rPr>
        <sz val="7"/>
        <color indexed="8"/>
        <rFont val="Arial"/>
        <family val="2"/>
        <charset val="1"/>
      </rPr>
      <t>river boat</t>
    </r>
    <r>
      <rPr>
        <b/>
        <sz val="7"/>
        <color indexed="8"/>
        <rFont val="Arial"/>
        <family val="2"/>
        <charset val="1"/>
      </rPr>
      <t>)+20 Boat Piloting (</t>
    </r>
    <r>
      <rPr>
        <sz val="7"/>
        <color indexed="8"/>
        <rFont val="Arial"/>
        <family val="2"/>
        <charset val="1"/>
      </rPr>
      <t>river boat</t>
    </r>
    <r>
      <rPr>
        <b/>
        <sz val="7"/>
        <color indexed="8"/>
        <rFont val="Arial"/>
        <family val="2"/>
        <charset val="1"/>
      </rPr>
      <t>)+20 Boat Piloting (</t>
    </r>
    <r>
      <rPr>
        <sz val="7"/>
        <color indexed="8"/>
        <rFont val="Arial"/>
        <family val="2"/>
        <charset val="1"/>
      </rPr>
      <t>river boat</t>
    </r>
    <r>
      <rPr>
        <b/>
        <sz val="7"/>
        <color indexed="8"/>
        <rFont val="Arial"/>
        <family val="2"/>
        <charset val="1"/>
      </rPr>
      <t>)+20 Boat Piloting (</t>
    </r>
    <r>
      <rPr>
        <sz val="7"/>
        <color indexed="8"/>
        <rFont val="Arial"/>
        <family val="2"/>
        <charset val="1"/>
      </rPr>
      <t>river boat</t>
    </r>
    <r>
      <rPr>
        <b/>
        <sz val="7"/>
        <color indexed="8"/>
        <rFont val="Arial"/>
        <family val="2"/>
        <charset val="1"/>
      </rPr>
      <t>)+20 Boat Piloting (</t>
    </r>
    <r>
      <rPr>
        <sz val="7"/>
        <color indexed="8"/>
        <rFont val="Arial"/>
        <family val="2"/>
        <charset val="1"/>
      </rPr>
      <t>river boat</t>
    </r>
    <r>
      <rPr>
        <b/>
        <sz val="7"/>
        <color indexed="8"/>
        <rFont val="Arial"/>
        <family val="2"/>
        <charset val="1"/>
      </rPr>
      <t>)+20 Boat Piloting (</t>
    </r>
    <r>
      <rPr>
        <sz val="7"/>
        <color indexed="8"/>
        <rFont val="Arial"/>
        <family val="2"/>
        <charset val="1"/>
      </rPr>
      <t>river boat</t>
    </r>
    <r>
      <rPr>
        <b/>
        <sz val="7"/>
        <color indexed="8"/>
        <rFont val="Arial"/>
        <family val="2"/>
        <charset val="1"/>
      </rPr>
      <t>)+20 Boat Piloting (</t>
    </r>
    <r>
      <rPr>
        <sz val="7"/>
        <color indexed="8"/>
        <rFont val="Arial"/>
        <family val="2"/>
        <charset val="1"/>
      </rPr>
      <t>river boat</t>
    </r>
    <r>
      <rPr>
        <b/>
        <sz val="7"/>
        <color indexed="8"/>
        <rFont val="Arial"/>
        <family val="2"/>
        <charset val="1"/>
      </rPr>
      <t>)</t>
    </r>
  </si>
  <si>
    <t>+20 Acrobatics</t>
  </si>
  <si>
    <t>-5 DB and RR vs Cold/Ice attacks</t>
  </si>
  <si>
    <t>-10 DB and RR vs Cold/Ice attacks</t>
  </si>
  <si>
    <t>-20 DB and RR vs Heat/Fire attacks</t>
  </si>
  <si>
    <t>+10 Riding (horse)</t>
  </si>
  <si>
    <t>+20 Riding</t>
  </si>
  <si>
    <t>+15 Caving</t>
  </si>
  <si>
    <t>Light Hide</t>
  </si>
  <si>
    <t>Middle Lower Class</t>
  </si>
  <si>
    <t>Commoner</t>
  </si>
  <si>
    <t>+20 Public Speaking</t>
  </si>
  <si>
    <t>Boat Piloting</t>
  </si>
  <si>
    <t>+15 Attunement</t>
  </si>
  <si>
    <t>+10 bonus to Base spell attack from Bard spell lists</t>
  </si>
  <si>
    <t>+20 Ship-Building [craft]</t>
  </si>
  <si>
    <t>+3 Subterfuge - Stealth CAT</t>
  </si>
  <si>
    <t>+10 Foraging</t>
  </si>
  <si>
    <t>1-Handed Edged Weapon skills</t>
  </si>
  <si>
    <t>Anthropology (Genealogy)</t>
  </si>
  <si>
    <t>+10 DB and RR vs Water attacks</t>
  </si>
  <si>
    <r>
      <t xml:space="preserve">+10 Riding </t>
    </r>
    <r>
      <rPr>
        <b/>
        <sz val="7"/>
        <color indexed="8"/>
        <rFont val="Arial"/>
        <family val="2"/>
        <charset val="1"/>
      </rPr>
      <t>(</t>
    </r>
    <r>
      <rPr>
        <sz val="7"/>
        <color indexed="8"/>
        <rFont val="Arial"/>
        <family val="2"/>
        <charset val="1"/>
      </rPr>
      <t>camel</t>
    </r>
    <r>
      <rPr>
        <b/>
        <sz val="7"/>
        <color indexed="8"/>
        <rFont val="Arial"/>
        <family val="2"/>
        <charset val="1"/>
      </rPr>
      <t>)+10 Riding (</t>
    </r>
    <r>
      <rPr>
        <sz val="7"/>
        <color indexed="8"/>
        <rFont val="Arial"/>
        <family val="2"/>
        <charset val="1"/>
      </rPr>
      <t>camel</t>
    </r>
    <r>
      <rPr>
        <b/>
        <sz val="7"/>
        <color indexed="8"/>
        <rFont val="Arial"/>
        <family val="2"/>
        <charset val="1"/>
      </rPr>
      <t>)+10 Riding (</t>
    </r>
    <r>
      <rPr>
        <sz val="7"/>
        <color indexed="8"/>
        <rFont val="Arial"/>
        <family val="2"/>
        <charset val="1"/>
      </rPr>
      <t>camel</t>
    </r>
    <r>
      <rPr>
        <b/>
        <sz val="7"/>
        <color indexed="8"/>
        <rFont val="Arial"/>
        <family val="2"/>
        <charset val="1"/>
      </rPr>
      <t>)+10 Riding (</t>
    </r>
    <r>
      <rPr>
        <sz val="7"/>
        <color indexed="8"/>
        <rFont val="Arial"/>
        <family val="2"/>
        <charset val="1"/>
      </rPr>
      <t>camel</t>
    </r>
    <r>
      <rPr>
        <b/>
        <sz val="7"/>
        <color indexed="8"/>
        <rFont val="Arial"/>
        <family val="2"/>
        <charset val="1"/>
      </rPr>
      <t>)+10 Riding (</t>
    </r>
    <r>
      <rPr>
        <sz val="7"/>
        <color indexed="8"/>
        <rFont val="Arial"/>
        <family val="2"/>
        <charset val="1"/>
      </rPr>
      <t>camel</t>
    </r>
    <r>
      <rPr>
        <b/>
        <sz val="7"/>
        <color indexed="8"/>
        <rFont val="Arial"/>
        <family val="2"/>
        <charset val="1"/>
      </rPr>
      <t>)+10 Riding (</t>
    </r>
    <r>
      <rPr>
        <sz val="7"/>
        <color indexed="8"/>
        <rFont val="Arial"/>
        <family val="2"/>
        <charset val="1"/>
      </rPr>
      <t>camel</t>
    </r>
    <r>
      <rPr>
        <b/>
        <sz val="7"/>
        <color indexed="8"/>
        <rFont val="Arial"/>
        <family val="2"/>
        <charset val="1"/>
      </rPr>
      <t>)+10 Riding (</t>
    </r>
    <r>
      <rPr>
        <sz val="7"/>
        <color indexed="8"/>
        <rFont val="Arial"/>
        <family val="2"/>
        <charset val="1"/>
      </rPr>
      <t>camel</t>
    </r>
    <r>
      <rPr>
        <b/>
        <sz val="7"/>
        <color indexed="8"/>
        <rFont val="Arial"/>
        <family val="2"/>
        <charset val="1"/>
      </rPr>
      <t>)+10 Riding (</t>
    </r>
    <r>
      <rPr>
        <sz val="7"/>
        <color indexed="8"/>
        <rFont val="Arial"/>
        <family val="2"/>
        <charset val="1"/>
      </rPr>
      <t>camel</t>
    </r>
    <r>
      <rPr>
        <b/>
        <sz val="7"/>
        <color indexed="8"/>
        <rFont val="Arial"/>
        <family val="2"/>
        <charset val="1"/>
      </rPr>
      <t>)+10 Riding (</t>
    </r>
    <r>
      <rPr>
        <sz val="7"/>
        <color indexed="8"/>
        <rFont val="Arial"/>
        <family val="2"/>
        <charset val="1"/>
      </rPr>
      <t>camel</t>
    </r>
    <r>
      <rPr>
        <b/>
        <sz val="7"/>
        <color indexed="8"/>
        <rFont val="Arial"/>
        <family val="2"/>
        <charset val="1"/>
      </rPr>
      <t>)</t>
    </r>
  </si>
  <si>
    <t>+30 DB and RR vs Cold/Ice attacks, -15 DB and RR vs Heat/Fire attacks</t>
  </si>
  <si>
    <t>Heavy Hide</t>
  </si>
  <si>
    <t>Upper Lower Class</t>
  </si>
  <si>
    <t>Small Holder</t>
  </si>
  <si>
    <t>+20 Acting</t>
  </si>
  <si>
    <t>Any Weapon skill</t>
  </si>
  <si>
    <t>+15 Metal-crafting</t>
  </si>
  <si>
    <t>+5 Subterfuge - Stealth CAT</t>
  </si>
  <si>
    <t>Throw and Missile Weapon skills</t>
  </si>
  <si>
    <t>Any Missile Weapon skill</t>
  </si>
  <si>
    <t>1-H Edged Weapon skills</t>
  </si>
  <si>
    <t>+10 Driving (chariot)</t>
  </si>
  <si>
    <t>Any Armour skills</t>
  </si>
  <si>
    <t>Leather Jerkin</t>
  </si>
  <si>
    <t>Lower Middle Class</t>
  </si>
  <si>
    <t>Villein, Monk</t>
  </si>
  <si>
    <t>Jog</t>
  </si>
  <si>
    <t>Acrotabics</t>
  </si>
  <si>
    <t>Culture Lore (Elven)</t>
  </si>
  <si>
    <t>+15 Stone-crafting</t>
  </si>
  <si>
    <t>+15 Healing Meditation</t>
  </si>
  <si>
    <t>+10 Hiding</t>
  </si>
  <si>
    <t>+20 Boat Piloting</t>
  </si>
  <si>
    <t>+20 Herding</t>
  </si>
  <si>
    <t>Any Weapon skills except 1-H concussion</t>
  </si>
  <si>
    <t>2-H Weapon skills</t>
  </si>
  <si>
    <t>Leather Coat</t>
  </si>
  <si>
    <t>Middle Middle Class</t>
  </si>
  <si>
    <t>Merchant, Priest</t>
  </si>
  <si>
    <t>Apppraisal</t>
  </si>
  <si>
    <t>-25 Swimming</t>
  </si>
  <si>
    <t>+15 Healing Songs</t>
  </si>
  <si>
    <t>+10 Trickery</t>
  </si>
  <si>
    <t>+20 Sailing</t>
  </si>
  <si>
    <t>Any Weapon skill except 2-h and pole arm</t>
  </si>
  <si>
    <t>Athletic Games (Gymnastic-horse shoe)</t>
  </si>
  <si>
    <t>Animal Handling (horses)</t>
  </si>
  <si>
    <t>Body Painting [Craft]</t>
  </si>
  <si>
    <t>Reinforced Coat</t>
  </si>
  <si>
    <t>Upper Middle Class</t>
  </si>
  <si>
    <t>Knight, Dame, Prior</t>
  </si>
  <si>
    <t>Embroidery [Craft]</t>
  </si>
  <si>
    <t>Armour – light -category skills</t>
  </si>
  <si>
    <t>+20 Hunting</t>
  </si>
  <si>
    <t>Armour-Light -category</t>
  </si>
  <si>
    <t>Directed Spells – Ice Bolt</t>
  </si>
  <si>
    <t>Armour – Light skills</t>
  </si>
  <si>
    <t>Full-Length Coat</t>
  </si>
  <si>
    <t>Lower Upper Class</t>
  </si>
  <si>
    <t>Baron, Baroness, Abbot</t>
  </si>
  <si>
    <t>F. Sprint</t>
  </si>
  <si>
    <t>Bone Carving [crafts]</t>
  </si>
  <si>
    <t>Leather Breastplate</t>
  </si>
  <si>
    <t>Middle Upper Class</t>
  </si>
  <si>
    <t>Body Develpoment</t>
  </si>
  <si>
    <t>Leather Breastplate &amp; Greaves</t>
  </si>
  <si>
    <t>Upper Upper Class</t>
  </si>
  <si>
    <t>Culture Lore</t>
  </si>
  <si>
    <t>Cookery</t>
  </si>
  <si>
    <t>Half-Hide Plate</t>
  </si>
  <si>
    <t>Royalty</t>
  </si>
  <si>
    <t>Base Rate</t>
  </si>
  <si>
    <t>Painting (Body Painting)</t>
  </si>
  <si>
    <t>History</t>
  </si>
  <si>
    <t>Dance</t>
  </si>
  <si>
    <t>Any Armour – Medium or – Light skill</t>
  </si>
  <si>
    <t>Full-Hide Plate</t>
  </si>
  <si>
    <t>Brawling</t>
  </si>
  <si>
    <t>History (famous weapons, enchanted creations)</t>
  </si>
  <si>
    <t>Disarm Traps</t>
  </si>
  <si>
    <t>Embroidery [craft]</t>
  </si>
  <si>
    <t>Bone-carving [craft]</t>
  </si>
  <si>
    <t>Chain Shirt</t>
  </si>
  <si>
    <t>Jewellery Making [Craft]</t>
  </si>
  <si>
    <t>Ice and Snow Lore</t>
  </si>
  <si>
    <t>Tattooing [craft]</t>
  </si>
  <si>
    <t>Chain Shirt &amp; Greaves</t>
  </si>
  <si>
    <t>Open Spell lists</t>
  </si>
  <si>
    <t>Beadwork [craft]</t>
  </si>
  <si>
    <t>Full Chain</t>
  </si>
  <si>
    <t>Star-gazing</t>
  </si>
  <si>
    <t>Navigation</t>
  </si>
  <si>
    <t>Fauna Lore (horses)</t>
  </si>
  <si>
    <t>Spell Lists</t>
  </si>
  <si>
    <t>History (Lumimiehet)</t>
  </si>
  <si>
    <t>History (Jäämiehet)</t>
  </si>
  <si>
    <t>Boat Building [craft]</t>
  </si>
  <si>
    <t>History (Wose)</t>
  </si>
  <si>
    <t>Chain Hauberk</t>
  </si>
  <si>
    <t>Embroider [craft]</t>
  </si>
  <si>
    <t>Foraging (Mountain / Hills)</t>
  </si>
  <si>
    <t>Ice-carving [craft]</t>
  </si>
  <si>
    <t>Metal Breastplate</t>
  </si>
  <si>
    <t>Military Organisation</t>
  </si>
  <si>
    <t>Ivory-carving [craft]</t>
  </si>
  <si>
    <t>Metal Breastplate &amp; Greaves</t>
  </si>
  <si>
    <t>History (Dunlendings)</t>
  </si>
  <si>
    <t>Obseravtion</t>
  </si>
  <si>
    <t>Half Plate</t>
  </si>
  <si>
    <t>Play Instruments</t>
  </si>
  <si>
    <t>Survival (arctic)</t>
  </si>
  <si>
    <t>History Lore (Variags)</t>
  </si>
  <si>
    <t>Full Plate</t>
  </si>
  <si>
    <t>Pole-vaulting</t>
  </si>
  <si>
    <t>Pole Vaulting</t>
  </si>
  <si>
    <t>Any Power Awareness -skills</t>
  </si>
  <si>
    <t>Tricker</t>
  </si>
  <si>
    <t>Region Lore (local)</t>
  </si>
  <si>
    <t>Sea/Whale Lore</t>
  </si>
  <si>
    <t>AT#</t>
  </si>
  <si>
    <t>MAB</t>
  </si>
  <si>
    <t>Region Lore (cavernous region)</t>
  </si>
  <si>
    <t>Sewing</t>
  </si>
  <si>
    <t>History (Eothraim)</t>
  </si>
  <si>
    <t>History (Merimetsästäjät)</t>
  </si>
  <si>
    <t>Spell lists</t>
  </si>
  <si>
    <t>Spells: Arcane</t>
  </si>
  <si>
    <t>Read runes</t>
  </si>
  <si>
    <t>Singaling</t>
  </si>
  <si>
    <t>Foraging (arctic)</t>
  </si>
  <si>
    <t xml:space="preserve">Military Organisation </t>
  </si>
  <si>
    <t>Riding (wargs)</t>
  </si>
  <si>
    <t>Tactics</t>
  </si>
  <si>
    <t>Region Lore (own)</t>
  </si>
  <si>
    <t>Spinning [craft]</t>
  </si>
  <si>
    <t>Singing (chanting)</t>
  </si>
  <si>
    <t>Driving (sled)</t>
  </si>
  <si>
    <t>Religion (Dark)</t>
  </si>
  <si>
    <t>Tattooing [Craft]</t>
  </si>
  <si>
    <t>Military Organisation (Cavalry)</t>
  </si>
  <si>
    <t>Tightrope-walking</t>
  </si>
  <si>
    <t>Gold-smithing</t>
  </si>
  <si>
    <t>Stilt-walking</t>
  </si>
  <si>
    <t>Totem Making [craft]</t>
  </si>
  <si>
    <t>Ship-building [craft]</t>
  </si>
  <si>
    <t>History (Lossoth)</t>
  </si>
  <si>
    <t>Wood Carving [craft]</t>
  </si>
  <si>
    <t>Kyllä</t>
  </si>
  <si>
    <t>Throwing Weapon Skills</t>
  </si>
  <si>
    <t>+10 Awareness CAT when dealing with smells</t>
  </si>
  <si>
    <t>Ei</t>
  </si>
  <si>
    <t>Riding (horse)</t>
  </si>
  <si>
    <t>Missile Weapon Skills</t>
  </si>
  <si>
    <t>+25 Tracking</t>
  </si>
  <si>
    <t>Weaving [craft]</t>
  </si>
  <si>
    <t>Wood-crafts</t>
  </si>
  <si>
    <t>+15 Foraging</t>
  </si>
  <si>
    <t>Stone-crafts</t>
  </si>
  <si>
    <t>+4 Subterfuge - Stealth CAT</t>
  </si>
  <si>
    <t>+25 Stalk</t>
  </si>
  <si>
    <t>Any Weapon Skills</t>
  </si>
  <si>
    <t>Spinning</t>
  </si>
  <si>
    <t>+30 DB and RR vs Heat and Cold</t>
  </si>
  <si>
    <t>+15 Tale Telling</t>
  </si>
  <si>
    <t>Tactics (Cavalry)</t>
  </si>
  <si>
    <t>+25 to all boat handling maneuvers</t>
  </si>
  <si>
    <t>+20 to Boat Piloting</t>
  </si>
  <si>
    <t>Trap Building</t>
  </si>
  <si>
    <t>+10 to all melee weapon skill categories</t>
  </si>
  <si>
    <t>+20 to Navigation</t>
  </si>
  <si>
    <t>Any Weapon skills (except 1-H concussion and Missile Artillery)</t>
  </si>
  <si>
    <t>+20 to Rope Mastery</t>
  </si>
  <si>
    <t>+20 to Sailing</t>
  </si>
  <si>
    <t>+30 RR vs Poison</t>
  </si>
  <si>
    <t>+20 to Star-gazing</t>
  </si>
  <si>
    <t>Weather-Watching</t>
  </si>
  <si>
    <t>+15 Acting</t>
  </si>
  <si>
    <t>+20 to Weather Watching</t>
  </si>
  <si>
    <t>Weaving [crafts]</t>
  </si>
  <si>
    <t>+15 Public Speaking</t>
  </si>
  <si>
    <t>+10 Boat Handling maneuvers</t>
  </si>
  <si>
    <t>Transcend Amour</t>
  </si>
  <si>
    <t>Realm</t>
  </si>
  <si>
    <t>???</t>
  </si>
  <si>
    <t>Ess/Ment</t>
  </si>
  <si>
    <t>Prime Stats</t>
  </si>
  <si>
    <t>ST/CO</t>
  </si>
  <si>
    <t>AG/QU</t>
  </si>
  <si>
    <t>AG/ST</t>
  </si>
  <si>
    <t>QU/SD</t>
  </si>
  <si>
    <t>none</t>
  </si>
  <si>
    <t>EM/RE</t>
  </si>
  <si>
    <t>IN/ME</t>
  </si>
  <si>
    <t>PR/SD</t>
  </si>
  <si>
    <t>IN/PR/SD</t>
  </si>
  <si>
    <t>EM/PR/SD</t>
  </si>
  <si>
    <t>EM/IN/SD</t>
  </si>
  <si>
    <t>IN/CO</t>
  </si>
  <si>
    <t>IN/SD</t>
  </si>
  <si>
    <t>EM/SD</t>
  </si>
  <si>
    <t>EM/AG</t>
  </si>
  <si>
    <t>PR/ME</t>
  </si>
  <si>
    <t>PR/RE</t>
  </si>
  <si>
    <t>EM/IN/PR/SD</t>
  </si>
  <si>
    <t>EM/CO</t>
  </si>
  <si>
    <t>AG/PR</t>
  </si>
  <si>
    <t>SD/EM/PR</t>
  </si>
  <si>
    <t>SD/PR</t>
  </si>
  <si>
    <t>AG/IN</t>
  </si>
  <si>
    <t>IN/RE</t>
  </si>
  <si>
    <t>IN/AG</t>
  </si>
  <si>
    <t>RE/ME</t>
  </si>
  <si>
    <t>AG/SD</t>
  </si>
  <si>
    <t>IN/EM</t>
  </si>
  <si>
    <t>Realm Stat Bonus</t>
  </si>
  <si>
    <t>Dunael</t>
  </si>
  <si>
    <t>Westron</t>
  </si>
  <si>
    <t>Adûnaic</t>
  </si>
  <si>
    <t>Khuzdul</t>
  </si>
  <si>
    <t>Quenya</t>
  </si>
  <si>
    <t>Bethteur</t>
  </si>
  <si>
    <t>Sindarin</t>
  </si>
  <si>
    <t>Eothrik</t>
  </si>
  <si>
    <t>Atliduk</t>
  </si>
  <si>
    <t>Sagathig</t>
  </si>
  <si>
    <t>Northron</t>
  </si>
  <si>
    <t>Gramuik</t>
  </si>
  <si>
    <t>Nahaiduk</t>
  </si>
  <si>
    <t>Esteravik</t>
  </si>
  <si>
    <t>Haradaic</t>
  </si>
  <si>
    <t>Apysaic</t>
  </si>
  <si>
    <t>Kuduk</t>
  </si>
  <si>
    <t>Labba</t>
  </si>
  <si>
    <t>Varadja</t>
  </si>
  <si>
    <t>Asdradja</t>
  </si>
  <si>
    <t>Brygathic</t>
  </si>
  <si>
    <t>Firasfradja</t>
  </si>
  <si>
    <t>Kykurija</t>
  </si>
  <si>
    <t>Odhradja</t>
  </si>
  <si>
    <t>Urdar</t>
  </si>
  <si>
    <t>Umitic</t>
  </si>
  <si>
    <t>Pûkael</t>
  </si>
  <si>
    <t>Tribal Gûjâb</t>
  </si>
  <si>
    <t>Base List</t>
  </si>
  <si>
    <t>Earth Law</t>
  </si>
  <si>
    <t>Feel-Taste-Smell</t>
  </si>
  <si>
    <t>Channels</t>
  </si>
  <si>
    <t>Mind Attack</t>
  </si>
  <si>
    <t>Blood Mastery</t>
  </si>
  <si>
    <t>Blood Ways</t>
  </si>
  <si>
    <t>Confusing Ways</t>
  </si>
  <si>
    <t>Flesh Destruction</t>
  </si>
  <si>
    <t>Inner Walls</t>
  </si>
  <si>
    <t>Communion</t>
  </si>
  <si>
    <t>Body Reins</t>
  </si>
  <si>
    <t>Concealment Mastery</t>
  </si>
  <si>
    <t>Controlling Songs</t>
  </si>
  <si>
    <t>Assassination Mastery</t>
  </si>
  <si>
    <t>Mana Law</t>
  </si>
  <si>
    <t>Faith Breaker</t>
  </si>
  <si>
    <t>Arcane Motions</t>
  </si>
  <si>
    <t>Amplifications</t>
  </si>
  <si>
    <t>Commanding Will</t>
  </si>
  <si>
    <t>Mana Fields</t>
  </si>
  <si>
    <t>Combat Enhancement</t>
  </si>
  <si>
    <t>Armour Mastery</t>
  </si>
  <si>
    <t>Seeming Defenses</t>
  </si>
  <si>
    <t>Far Visions</t>
  </si>
  <si>
    <t>Far Voice</t>
  </si>
  <si>
    <t>Animal Summons</t>
  </si>
  <si>
    <t>Doom's Law</t>
  </si>
  <si>
    <t>Holy Mission</t>
  </si>
  <si>
    <t>Ceremonies</t>
  </si>
  <si>
    <t>Communal Ways</t>
  </si>
  <si>
    <t>Proselytizing</t>
  </si>
  <si>
    <t>Divine Magic</t>
  </si>
  <si>
    <t>Death Mastery</t>
  </si>
  <si>
    <t>Aquatic Forms</t>
  </si>
  <si>
    <t>Battlefield Healing</t>
  </si>
  <si>
    <t>Blood Law</t>
  </si>
  <si>
    <t>Choose 6 of these</t>
  </si>
  <si>
    <t>Fire Law</t>
  </si>
  <si>
    <t>Guises</t>
  </si>
  <si>
    <t>Herb Mastery</t>
  </si>
  <si>
    <t>Mind Control</t>
  </si>
  <si>
    <t>Bone Mastery</t>
  </si>
  <si>
    <t>Bone Ways</t>
  </si>
  <si>
    <t>Gas Alteration</t>
  </si>
  <si>
    <t>Fluid Destruction</t>
  </si>
  <si>
    <t>Moving Ways</t>
  </si>
  <si>
    <t>Exorcism</t>
  </si>
  <si>
    <t>Body Renewal</t>
  </si>
  <si>
    <t>Influences</t>
  </si>
  <si>
    <t>Entertaining Ways</t>
  </si>
  <si>
    <t>Disguise Mastery</t>
  </si>
  <si>
    <t>Power Focus</t>
  </si>
  <si>
    <t>Mind Breaker</t>
  </si>
  <si>
    <t>Arcane Senses</t>
  </si>
  <si>
    <t>Containing Ways</t>
  </si>
  <si>
    <t>Inscriptions</t>
  </si>
  <si>
    <t>Mana Items</t>
  </si>
  <si>
    <t>Combat Misdirections</t>
  </si>
  <si>
    <t>Battle Law</t>
  </si>
  <si>
    <t>Seeming Enhancement</t>
  </si>
  <si>
    <t>Future Visions</t>
  </si>
  <si>
    <t>Holy Vision</t>
  </si>
  <si>
    <t>Planar Summons</t>
  </si>
  <si>
    <t>Faith Destruction</t>
  </si>
  <si>
    <t>The Defender</t>
  </si>
  <si>
    <t>Protections</t>
  </si>
  <si>
    <t>Faith's Shield</t>
  </si>
  <si>
    <t>Holy Element</t>
  </si>
  <si>
    <t>Life Mastery</t>
  </si>
  <si>
    <t>Crusade</t>
  </si>
  <si>
    <t>Divine Aura</t>
  </si>
  <si>
    <t>Holy Wrath</t>
  </si>
  <si>
    <t>Bone Law</t>
  </si>
  <si>
    <t>Armour Enchanments</t>
  </si>
  <si>
    <t>Holy Armour</t>
  </si>
  <si>
    <t>Attack Mastery</t>
  </si>
  <si>
    <t>Waildyth</t>
  </si>
  <si>
    <t>Reiksfrathig</t>
  </si>
  <si>
    <t>Orkish</t>
  </si>
  <si>
    <t>Svirfneblish</t>
  </si>
  <si>
    <t>High Drow</t>
  </si>
  <si>
    <t>Ice Law</t>
  </si>
  <si>
    <t>Illusion Mastery</t>
  </si>
  <si>
    <t>Nature's Lore</t>
  </si>
  <si>
    <t>Mind Merge</t>
  </si>
  <si>
    <t>Concussion Mastery</t>
  </si>
  <si>
    <t>Cleansing</t>
  </si>
  <si>
    <t>Gas Destruction</t>
  </si>
  <si>
    <t>Nature's Guises</t>
  </si>
  <si>
    <t>Holy Arms</t>
  </si>
  <si>
    <t>Evasions</t>
  </si>
  <si>
    <t>Mechanisms</t>
  </si>
  <si>
    <t>Item Lore</t>
  </si>
  <si>
    <t>Escapes</t>
  </si>
  <si>
    <t>Power's Mastery</t>
  </si>
  <si>
    <t>Spell Bane</t>
  </si>
  <si>
    <t>Changes</t>
  </si>
  <si>
    <t>Hunter's Call</t>
  </si>
  <si>
    <t>Nomenclature Mastery</t>
  </si>
  <si>
    <t>Mana Servants</t>
  </si>
  <si>
    <t>Detections and Protections</t>
  </si>
  <si>
    <t>Fortress Law</t>
  </si>
  <si>
    <t>Seeming Law</t>
  </si>
  <si>
    <t>Mind Visions</t>
  </si>
  <si>
    <t>Starlights</t>
  </si>
  <si>
    <t>Summoning Bond</t>
  </si>
  <si>
    <t>Look of Terror</t>
  </si>
  <si>
    <t>The Eye</t>
  </si>
  <si>
    <t>Nature Domination</t>
  </si>
  <si>
    <t>Insect Mastery</t>
  </si>
  <si>
    <t>Holy Weapon</t>
  </si>
  <si>
    <t>Hunting Mastery</t>
  </si>
  <si>
    <t>Holy Defenses</t>
  </si>
  <si>
    <t>Holy Wind</t>
  </si>
  <si>
    <t>Holy Symbol</t>
  </si>
  <si>
    <t>Muscle Law</t>
  </si>
  <si>
    <t>Concussion's Ways</t>
  </si>
  <si>
    <t>General Enchantments</t>
  </si>
  <si>
    <t>Holy Office</t>
  </si>
  <si>
    <t>Defense Mastery</t>
  </si>
  <si>
    <t>Light Law</t>
  </si>
  <si>
    <t>Light Molding</t>
  </si>
  <si>
    <t>Nature's Move/Senses</t>
  </si>
  <si>
    <t>Mind Speech</t>
  </si>
  <si>
    <t>Muscle Mastery</t>
  </si>
  <si>
    <t>Muscle Ways</t>
  </si>
  <si>
    <t>Liquid Alteration</t>
  </si>
  <si>
    <t>Mind Destruction</t>
  </si>
  <si>
    <t>Nature's Summons</t>
  </si>
  <si>
    <t>Holy Healing</t>
  </si>
  <si>
    <t>Mind Over Matter</t>
  </si>
  <si>
    <t>Movement Mastery</t>
  </si>
  <si>
    <t>Lores</t>
  </si>
  <si>
    <t>Gathering Secrets</t>
  </si>
  <si>
    <t>Spell Shaping</t>
  </si>
  <si>
    <t>Spell Coordination</t>
  </si>
  <si>
    <t>Hand of Chaos</t>
  </si>
  <si>
    <t>Power Lore</t>
  </si>
  <si>
    <t>Physical Manipulations</t>
  </si>
  <si>
    <t>Mana Warriors</t>
  </si>
  <si>
    <t>Warrior's Blade</t>
  </si>
  <si>
    <t>Martial Law</t>
  </si>
  <si>
    <t>Seeming Mastery</t>
  </si>
  <si>
    <t>Past Visions</t>
  </si>
  <si>
    <t>Starlore</t>
  </si>
  <si>
    <t>Summoning Circles</t>
  </si>
  <si>
    <t>Revenging Law</t>
  </si>
  <si>
    <t>The Mask</t>
  </si>
  <si>
    <t>Repulsions</t>
  </si>
  <si>
    <t>Holy Trances</t>
  </si>
  <si>
    <t>Nature's Movement/Senses</t>
  </si>
  <si>
    <t>Nerve Law</t>
  </si>
  <si>
    <t>Inorganic Skills</t>
  </si>
  <si>
    <t>Holy Wards</t>
  </si>
  <si>
    <t>External Concentrations</t>
  </si>
  <si>
    <t>Logathig</t>
  </si>
  <si>
    <t>Morbeth</t>
  </si>
  <si>
    <t>Undercommon</t>
  </si>
  <si>
    <t>Water Law</t>
  </si>
  <si>
    <t>Mind Sense Molding</t>
  </si>
  <si>
    <t>Nature's Protection</t>
  </si>
  <si>
    <t>Nerve &amp; Organ Mastery</t>
  </si>
  <si>
    <t>Organ Ways</t>
  </si>
  <si>
    <t>Mystical Change</t>
  </si>
  <si>
    <t>Solid Destruction</t>
  </si>
  <si>
    <t>Nature's Way</t>
  </si>
  <si>
    <t>Holy Shields</t>
  </si>
  <si>
    <t>Monk's Bridge</t>
  </si>
  <si>
    <t>Senses</t>
  </si>
  <si>
    <t>Sound Control</t>
  </si>
  <si>
    <t>Misdirections</t>
  </si>
  <si>
    <t>Void Law</t>
  </si>
  <si>
    <t>Spell Hand</t>
  </si>
  <si>
    <t>Spell Protection</t>
  </si>
  <si>
    <t>Symbolism</t>
  </si>
  <si>
    <t>Glyphs</t>
  </si>
  <si>
    <t>Warrior's Enhancements</t>
  </si>
  <si>
    <t>Warrior's Law</t>
  </si>
  <si>
    <t>Seeming Memories</t>
  </si>
  <si>
    <t>Vision Borrowing</t>
  </si>
  <si>
    <t>Starsense</t>
  </si>
  <si>
    <t>Summoning Mastery</t>
  </si>
  <si>
    <t>Transformations</t>
  </si>
  <si>
    <t>The Will</t>
  </si>
  <si>
    <t>Summons</t>
  </si>
  <si>
    <t>Spiritual Vision</t>
  </si>
  <si>
    <t>Organ Law</t>
  </si>
  <si>
    <t>Herb Law</t>
  </si>
  <si>
    <t>Item Analysis</t>
  </si>
  <si>
    <t>Holy Weapons</t>
  </si>
  <si>
    <t>Inorganic Mastery</t>
  </si>
  <si>
    <t>Wind Law</t>
  </si>
  <si>
    <t>Sound Molding</t>
  </si>
  <si>
    <t>Plant Mastery</t>
  </si>
  <si>
    <t>Sense Control</t>
  </si>
  <si>
    <t>Prosthetics</t>
  </si>
  <si>
    <t>Surface Ways</t>
  </si>
  <si>
    <t>Solid Alteration</t>
  </si>
  <si>
    <t>Soul Destruction</t>
  </si>
  <si>
    <t>Path Mastery</t>
  </si>
  <si>
    <t>Inspiring Ways</t>
  </si>
  <si>
    <t>Monk's Sense</t>
  </si>
  <si>
    <t>Thieving Law</t>
  </si>
  <si>
    <t>Sound Projection</t>
  </si>
  <si>
    <t>Poison Mastery</t>
  </si>
  <si>
    <t>Wards</t>
  </si>
  <si>
    <t>Spell Shield</t>
  </si>
  <si>
    <t>Spell Tracker</t>
  </si>
  <si>
    <t>Warding Mastery</t>
  </si>
  <si>
    <t>Matter Molding</t>
  </si>
  <si>
    <t>Will of the Warrior</t>
  </si>
  <si>
    <t>Weapon Mastery</t>
  </si>
  <si>
    <t>Seeming Projection</t>
  </si>
  <si>
    <t>Vision Guard</t>
  </si>
  <si>
    <t>Way of the Voice</t>
  </si>
  <si>
    <t>Teleportals</t>
  </si>
  <si>
    <t>Wyrd Mastery</t>
  </si>
  <si>
    <t>Vengeance</t>
  </si>
  <si>
    <t>Tree Mastery</t>
  </si>
  <si>
    <t>one of:</t>
  </si>
  <si>
    <t>The Hunter</t>
  </si>
  <si>
    <t>Dark Channels</t>
  </si>
  <si>
    <t>Liquid/Gas Skills</t>
  </si>
  <si>
    <t>Holy Works</t>
  </si>
  <si>
    <t>Horse Mastery</t>
  </si>
  <si>
    <t>Organic Skills</t>
  </si>
  <si>
    <t>Holy Inorganic Skills</t>
  </si>
  <si>
    <t>Meditative Healing</t>
  </si>
  <si>
    <t>Serpent Law</t>
  </si>
  <si>
    <t>Other Realm Imbedding</t>
  </si>
  <si>
    <t>Own Realm Imbedding</t>
  </si>
  <si>
    <t>Weapon Enchantments</t>
  </si>
  <si>
    <t>Understanding Mastery</t>
  </si>
  <si>
    <t>Land Forms</t>
  </si>
  <si>
    <t>Combat Awareness</t>
  </si>
  <si>
    <t>One Situational Awareness</t>
  </si>
  <si>
    <t>Varies</t>
  </si>
  <si>
    <t>Sense Reality</t>
  </si>
  <si>
    <t>Spell Mastery</t>
  </si>
  <si>
    <t>Runes</t>
  </si>
  <si>
    <t>All skills in Outdoor – Environmental CAT</t>
  </si>
  <si>
    <t>All skills in Outdoor – Animal CAT</t>
  </si>
  <si>
    <t>Religion</t>
  </si>
  <si>
    <t>All skills in Outdoor Group</t>
  </si>
  <si>
    <t>All skills in Communications CAT</t>
  </si>
  <si>
    <t>All skills in Crafts CAT that involve metal-crafting</t>
  </si>
  <si>
    <t>All skills in Influence CAT</t>
  </si>
  <si>
    <t xml:space="preserve">Astronomy </t>
  </si>
  <si>
    <t>All other skills in Artistic Group</t>
  </si>
  <si>
    <t>Other skills in Influence CAT</t>
  </si>
  <si>
    <t>All skills in Awareness – Searching CAT</t>
  </si>
  <si>
    <t>Animal Training</t>
  </si>
  <si>
    <t>Fly/Glide</t>
  </si>
  <si>
    <t>Any one Survival Skill</t>
  </si>
  <si>
    <t>Any one Riding skill</t>
  </si>
  <si>
    <t>Lore skill 1</t>
  </si>
  <si>
    <t>Any one Combat Maneuver skill</t>
  </si>
  <si>
    <t>Channgeling</t>
  </si>
  <si>
    <t>One Combat Maneuver</t>
  </si>
  <si>
    <t>Adrenal Stabilizaion</t>
  </si>
  <si>
    <t>Symbol Lore</t>
  </si>
  <si>
    <t>All other skills in the Artistic Group</t>
  </si>
  <si>
    <t>All Athletic Game -skills</t>
  </si>
  <si>
    <t>All other skills in Crats CAT</t>
  </si>
  <si>
    <t>All skills in Lore – Magical CAT</t>
  </si>
  <si>
    <t>Use Prepared Herbs</t>
  </si>
  <si>
    <t>Lie Detection</t>
  </si>
  <si>
    <t>One skill in Power Manipulation CAT</t>
  </si>
  <si>
    <t>All skills in Subterfuge – Stealth CAT</t>
  </si>
  <si>
    <t>Choice of one language (both spoken and written)</t>
  </si>
  <si>
    <t>Astronomu</t>
  </si>
  <si>
    <t>All skills in Athletic – Brawn CAT</t>
  </si>
  <si>
    <t>All skills in Inflience CAT</t>
  </si>
  <si>
    <t>Lore skill 2</t>
  </si>
  <si>
    <t>Any one Lore – Obscure -skill</t>
  </si>
  <si>
    <t>Divination Lore</t>
  </si>
  <si>
    <t>One Ancient Language (written)</t>
  </si>
  <si>
    <t>Choice of one weapon skill</t>
  </si>
  <si>
    <t>All skills in Artistic – Passive CAT</t>
  </si>
  <si>
    <t>Brewing</t>
  </si>
  <si>
    <t>Choice of one skill in Combat Maneuvers CAT</t>
  </si>
  <si>
    <t>One skill on Power Awareness CAT</t>
  </si>
  <si>
    <t>All skills in Athletic – Endurance CAT</t>
  </si>
  <si>
    <t>Navigaion</t>
  </si>
  <si>
    <t>choice of three languages (spoken)</t>
  </si>
  <si>
    <t>Choice of two skills in Science/Analytic – Group</t>
  </si>
  <si>
    <t>Any one Region Lore</t>
  </si>
  <si>
    <t>Lore skill 3</t>
  </si>
  <si>
    <t>One Non-Restricted Combat Maneuver</t>
  </si>
  <si>
    <t>Operating Equipment</t>
  </si>
  <si>
    <t>either Boxing or Wrestling</t>
  </si>
  <si>
    <t>Use Prepared Herb/Poison</t>
  </si>
  <si>
    <t>Read Tracks</t>
  </si>
  <si>
    <t>One skill in Spell Group</t>
  </si>
  <si>
    <t>All skills in one Weapon skill CAT</t>
  </si>
  <si>
    <t>choice of one language (written)</t>
  </si>
  <si>
    <t>Poison Lore</t>
  </si>
  <si>
    <t>one of Surgery, Second Aid or Midwifery</t>
  </si>
  <si>
    <t>Stargazing</t>
  </si>
  <si>
    <t>Gem Cutting</t>
  </si>
  <si>
    <t>Choice of one skill in Armour Group</t>
  </si>
  <si>
    <t>Sculpture</t>
  </si>
  <si>
    <t>Meditiation</t>
  </si>
  <si>
    <t>Circle Lore</t>
  </si>
  <si>
    <t>all Evaluate skills</t>
  </si>
  <si>
    <t>Naviation</t>
  </si>
  <si>
    <t>+15 RR against naturally occuring poisons and food poisoning</t>
  </si>
  <si>
    <t>+15 RR involving effects from Undead creatures</t>
  </si>
  <si>
    <t>Animal Mastery classified as normal skill</t>
  </si>
  <si>
    <t>Can make a Sense Reality maneuver to detect illusions (or invisible objects)</t>
  </si>
  <si>
    <t>+25 to influence (when dealing with people in his community)</t>
  </si>
  <si>
    <t>+25 to discerning cheating in a competition</t>
  </si>
  <si>
    <t>+25 to determine quality of craftsmanship</t>
  </si>
  <si>
    <t>+15 to Influence CAT</t>
  </si>
  <si>
    <t>+5 bonus to all skills in Awareness Group</t>
  </si>
  <si>
    <t>+15 bonus to all skills in Influence CAT</t>
  </si>
  <si>
    <t>+50 RR vs Disease</t>
  </si>
  <si>
    <t>+25 to Awareness involving earth or stone</t>
  </si>
  <si>
    <t>+15 RR vs Fire and Heat attacks</t>
  </si>
  <si>
    <t>+10 RR vs Diseases and Poisons</t>
  </si>
  <si>
    <t>Set Traps</t>
  </si>
  <si>
    <t>All priests have Nightvision (50')</t>
  </si>
  <si>
    <t>+10 Warhammer skill</t>
  </si>
  <si>
    <t>+25 Flora and Fauna Lore</t>
  </si>
  <si>
    <t>+25 to any Awareness underwater</t>
  </si>
  <si>
    <t>+15 to discern value of an object</t>
  </si>
  <si>
    <t>+15 to RR and DB vs Heat and Cold attacks or damage</t>
  </si>
  <si>
    <t>+15 to Awareness - Searching maneuvers</t>
  </si>
  <si>
    <t>+15 to Time Sense</t>
  </si>
  <si>
    <t>+15 to maneuvers in area of heavy vegetation</t>
  </si>
  <si>
    <t>+15 to maneuvers performed in mid-air</t>
  </si>
  <si>
    <t>+15 to RR vs spells with sub-type of "m".</t>
  </si>
  <si>
    <t>+25 all Animal Mastery maneuvers</t>
  </si>
  <si>
    <t>+15 to any Locate Hidden involving crafted materials (including secret doors)</t>
  </si>
  <si>
    <t>+15 bonus to all skills in Subterfuge - Stealth CAT</t>
  </si>
  <si>
    <t>+15 RR vs Poisons</t>
  </si>
  <si>
    <t>+10 to determine value of metal (wholly or partially) object</t>
  </si>
  <si>
    <t>Waterwision with a range of 50'</t>
  </si>
  <si>
    <t>BD for Race</t>
  </si>
  <si>
    <t>Choice of one Weapon skill</t>
  </si>
  <si>
    <t>PPD for Race</t>
  </si>
  <si>
    <t>+25 to Influence during battle</t>
  </si>
  <si>
    <t>All skills in Armour group</t>
  </si>
  <si>
    <t>Urban</t>
  </si>
  <si>
    <t>Urban skills</t>
  </si>
  <si>
    <t>Weapons</t>
  </si>
  <si>
    <t>Occupational</t>
  </si>
  <si>
    <t>Broadsword</t>
  </si>
  <si>
    <t>Dagger</t>
  </si>
  <si>
    <t>Battle Axe</t>
  </si>
  <si>
    <t>Hand Axe</t>
  </si>
  <si>
    <t>Club</t>
  </si>
  <si>
    <t xml:space="preserve">Dagger </t>
  </si>
  <si>
    <t>Bola</t>
  </si>
  <si>
    <t>Any one craft</t>
  </si>
  <si>
    <t>Calligraphy</t>
  </si>
  <si>
    <t>Military Organizaion</t>
  </si>
  <si>
    <t>Choice of one skill in the Artistic Group</t>
  </si>
  <si>
    <t>Choice of one skill in Athletic – Endurance CAT</t>
  </si>
  <si>
    <t>One skill in Crafts CAT</t>
  </si>
  <si>
    <t>One of Horticulture, Brewing, Mining, Stone-crafting</t>
  </si>
  <si>
    <t>Choice of any one metal-crafting skill</t>
  </si>
  <si>
    <t>Any one skill in Artistic Group</t>
  </si>
  <si>
    <t>One skill in Influence CAT</t>
  </si>
  <si>
    <t>choice of one skill in Influence CAT</t>
  </si>
  <si>
    <t>Choice of one skill in Athletic – Brawn CAT</t>
  </si>
  <si>
    <t>Six crafting skills of the player's choice</t>
  </si>
  <si>
    <t>Scimitar</t>
  </si>
  <si>
    <t>Broadswrod</t>
  </si>
  <si>
    <t>Javelin</t>
  </si>
  <si>
    <t>Short Bow</t>
  </si>
  <si>
    <t>Harpoon</t>
  </si>
  <si>
    <t>temp</t>
  </si>
  <si>
    <t>pot</t>
  </si>
  <si>
    <t>Composite Bow</t>
  </si>
  <si>
    <t>Short Sword</t>
  </si>
  <si>
    <t>Mace</t>
  </si>
  <si>
    <t>Long Sword</t>
  </si>
  <si>
    <t>Lance</t>
  </si>
  <si>
    <t>Net</t>
  </si>
  <si>
    <t>Spear</t>
  </si>
  <si>
    <t>Throwing Dagger</t>
  </si>
  <si>
    <t>Long Bow</t>
  </si>
  <si>
    <t>War Hammer</t>
  </si>
  <si>
    <t>Ice Knife (+5 dagger)</t>
  </si>
  <si>
    <t>Sling</t>
  </si>
  <si>
    <t>Halberd</t>
  </si>
  <si>
    <t>Flail</t>
  </si>
  <si>
    <t>Ligh Crossbow</t>
  </si>
  <si>
    <t>Quarterstaff</t>
  </si>
  <si>
    <t>Ice Axe (+10 Hand Axe)</t>
  </si>
  <si>
    <t>Morning Star</t>
  </si>
  <si>
    <t>Whip</t>
  </si>
  <si>
    <t>Long Knife</t>
  </si>
  <si>
    <t>Blowgun</t>
  </si>
  <si>
    <t>Trident</t>
  </si>
  <si>
    <t>Cudgel</t>
  </si>
  <si>
    <t>Fishing Spear (-5 Javelin)</t>
  </si>
  <si>
    <t>War Mattock</t>
  </si>
  <si>
    <t>Two-handed Sword</t>
  </si>
  <si>
    <t>Boomerang</t>
  </si>
  <si>
    <t>Blackjack</t>
  </si>
  <si>
    <t>Fishing Net</t>
  </si>
  <si>
    <t>Knife</t>
  </si>
  <si>
    <t xml:space="preserve">Spear </t>
  </si>
  <si>
    <t>Light Crossbow</t>
  </si>
  <si>
    <t>Woodman's Axe</t>
  </si>
  <si>
    <t>Darts (throwing)</t>
  </si>
  <si>
    <t>Sabre</t>
  </si>
  <si>
    <t>Pilum</t>
  </si>
  <si>
    <t>Horse Bow</t>
  </si>
  <si>
    <t>Throwing Darts</t>
  </si>
  <si>
    <t>Usriev</t>
  </si>
  <si>
    <t>Throwing Axe</t>
  </si>
  <si>
    <t>Falchion</t>
  </si>
  <si>
    <t>Bastard Swrod</t>
  </si>
  <si>
    <t>Heavy Crossbow</t>
  </si>
  <si>
    <t>Foil</t>
  </si>
  <si>
    <t>Main Gauche</t>
  </si>
  <si>
    <t>Katana</t>
  </si>
  <si>
    <t>Two-Handed Sword</t>
  </si>
  <si>
    <t>Rapier</t>
  </si>
  <si>
    <t>Longsword</t>
  </si>
  <si>
    <t>Bastard Sword</t>
  </si>
  <si>
    <t>Arien</t>
  </si>
  <si>
    <t>Yavanna</t>
  </si>
  <si>
    <t>Vairë</t>
  </si>
  <si>
    <t>Oromë</t>
  </si>
  <si>
    <t>Ossë</t>
  </si>
  <si>
    <t>Vána</t>
  </si>
  <si>
    <t>Tulkas</t>
  </si>
  <si>
    <t>Aulë</t>
  </si>
  <si>
    <t>Morgoth</t>
  </si>
  <si>
    <t>Námo</t>
  </si>
  <si>
    <t>Irmo</t>
  </si>
  <si>
    <t>Ëonwë</t>
  </si>
  <si>
    <t>Estë</t>
  </si>
  <si>
    <t>Varda</t>
  </si>
  <si>
    <t>Manwë</t>
  </si>
  <si>
    <t>Tilion</t>
  </si>
  <si>
    <t>Ben-Adar</t>
  </si>
  <si>
    <t>Vana</t>
  </si>
  <si>
    <t>Ulmo</t>
  </si>
  <si>
    <t>Ilmarë</t>
  </si>
  <si>
    <t>Nienna</t>
  </si>
  <si>
    <t>Cat of Nine Tails</t>
  </si>
  <si>
    <t>Deep Green</t>
  </si>
  <si>
    <t>Blue</t>
  </si>
  <si>
    <t>White</t>
  </si>
  <si>
    <t>Boar Spear</t>
  </si>
  <si>
    <t>Sea Green</t>
  </si>
  <si>
    <t>Throwing Stars</t>
  </si>
  <si>
    <t>Brown</t>
  </si>
  <si>
    <t>Cutlass</t>
  </si>
  <si>
    <t>Black</t>
  </si>
  <si>
    <t>Red</t>
  </si>
  <si>
    <t>Spring Green</t>
  </si>
  <si>
    <t>Red Gold</t>
  </si>
  <si>
    <t>Orange</t>
  </si>
  <si>
    <t>Deep Blue</t>
  </si>
  <si>
    <t>Grey</t>
  </si>
  <si>
    <t>Purple</t>
  </si>
  <si>
    <t>Grey-White</t>
  </si>
  <si>
    <t>Skin</t>
  </si>
  <si>
    <t>Steel Grey</t>
  </si>
  <si>
    <t>Tanned</t>
  </si>
  <si>
    <t>Fair</t>
  </si>
  <si>
    <t>Light</t>
  </si>
  <si>
    <t>Ruddy</t>
  </si>
  <si>
    <t>Light Grey</t>
  </si>
  <si>
    <t>Dark Grey</t>
  </si>
  <si>
    <t>Mixed</t>
  </si>
  <si>
    <t>Light Brown</t>
  </si>
  <si>
    <t>Deep Grey</t>
  </si>
  <si>
    <t>Green</t>
  </si>
  <si>
    <t>Tan</t>
  </si>
  <si>
    <t>Yellowish</t>
  </si>
  <si>
    <t>Crimson</t>
  </si>
  <si>
    <t>Olive</t>
  </si>
  <si>
    <t>Swarthy</t>
  </si>
  <si>
    <t>Dark Brown</t>
  </si>
  <si>
    <t>Pale Grey</t>
  </si>
  <si>
    <t>Eyes</t>
  </si>
  <si>
    <t>Pale Blue</t>
  </si>
  <si>
    <t>Hazel</t>
  </si>
  <si>
    <t>Bluish</t>
  </si>
  <si>
    <t>Reddish Brown</t>
  </si>
  <si>
    <t>Reddish-Brown</t>
  </si>
  <si>
    <t>Violet</t>
  </si>
  <si>
    <t>Yellow</t>
  </si>
  <si>
    <t>Deity choice</t>
  </si>
  <si>
    <t>Hair</t>
  </si>
  <si>
    <t>Dark</t>
  </si>
  <si>
    <t>Sandy</t>
  </si>
  <si>
    <t>Blonde</t>
  </si>
  <si>
    <t>Reddish</t>
  </si>
  <si>
    <t>Curly Brown</t>
  </si>
  <si>
    <t>Alignment</t>
  </si>
  <si>
    <t>Apotechary (V), MERP</t>
  </si>
  <si>
    <t>LG</t>
  </si>
  <si>
    <t>Lawful Good</t>
  </si>
  <si>
    <t>Path of Integrity: Conformity/Tradition and Benevolence</t>
  </si>
  <si>
    <t>NG</t>
  </si>
  <si>
    <t>Neutral Good</t>
  </si>
  <si>
    <t>Path of Mercy: Benevolence and Universalism</t>
  </si>
  <si>
    <t>Benevolence and Universalism</t>
  </si>
  <si>
    <t>CG</t>
  </si>
  <si>
    <t>Chaotic Good</t>
  </si>
  <si>
    <t>Path of Liberty: Universalism and Self-Direction</t>
  </si>
  <si>
    <t>Universalism and Self-Direction</t>
  </si>
  <si>
    <t>LN</t>
  </si>
  <si>
    <t>Lawful Neutral</t>
  </si>
  <si>
    <t>Path of Harmony: Security and Conformity/Tradition</t>
  </si>
  <si>
    <t>Security and Conformity/Tradition</t>
  </si>
  <si>
    <t>NN</t>
  </si>
  <si>
    <t>True Neutral</t>
  </si>
  <si>
    <t>Path of Equity: Any values</t>
  </si>
  <si>
    <t>Any values, whether incongruent or not</t>
  </si>
  <si>
    <t>CN</t>
  </si>
  <si>
    <t>Path of Autonomy: Self-Direction and Stimulation</t>
  </si>
  <si>
    <t>Self-Direction and Stimulation</t>
  </si>
  <si>
    <t>Training Packages</t>
  </si>
  <si>
    <t>ToA</t>
  </si>
  <si>
    <t>Money</t>
  </si>
  <si>
    <t>Special 1</t>
  </si>
  <si>
    <t>Special 2</t>
  </si>
  <si>
    <t>Special 3</t>
  </si>
  <si>
    <t>Special 4</t>
  </si>
  <si>
    <t>Special 5</t>
  </si>
  <si>
    <t>Special 6</t>
  </si>
  <si>
    <t>Special 7</t>
  </si>
  <si>
    <t>Special 8</t>
  </si>
  <si>
    <t>Special 9</t>
  </si>
  <si>
    <t>Special 10</t>
  </si>
  <si>
    <t>Special 11</t>
  </si>
  <si>
    <t>Special 12</t>
  </si>
  <si>
    <t>Special 13</t>
  </si>
  <si>
    <t>Special 14</t>
  </si>
  <si>
    <t>Special 15</t>
  </si>
  <si>
    <t>Special 16</t>
  </si>
  <si>
    <t>Special 17</t>
  </si>
  <si>
    <t>Category or skill</t>
  </si>
  <si>
    <t>Prof. Qualifier</t>
  </si>
  <si>
    <t>LE</t>
  </si>
  <si>
    <t>Lawful Evil</t>
  </si>
  <si>
    <t>Path of Ascendency: Power and Security</t>
  </si>
  <si>
    <t>Power and Security</t>
  </si>
  <si>
    <t>[EMPTY]</t>
  </si>
  <si>
    <t>NE</t>
  </si>
  <si>
    <t>Neutral Evil</t>
  </si>
  <si>
    <t>Path of Supremacy: Achievement and Power</t>
  </si>
  <si>
    <t>Achievement and Power</t>
  </si>
  <si>
    <t>Normal + d10</t>
  </si>
  <si>
    <t>Weapon +10 NM (30)</t>
  </si>
  <si>
    <t>Armour +10 NM (30)</t>
  </si>
  <si>
    <t>Other Equipment +5 NM (30)</t>
  </si>
  <si>
    <r>
      <t xml:space="preserve">Spell Adder +1 </t>
    </r>
    <r>
      <rPr>
        <b/>
        <sz val="7"/>
        <color indexed="8"/>
        <rFont val="Arial"/>
        <family val="2"/>
        <charset val="1"/>
      </rPr>
      <t>or</t>
    </r>
    <r>
      <rPr>
        <sz val="7"/>
        <color indexed="8"/>
        <rFont val="Arial"/>
        <family val="2"/>
        <charset val="1"/>
      </rPr>
      <t xml:space="preserve"> Daily I Item (1</t>
    </r>
    <r>
      <rPr>
        <vertAlign val="superscript"/>
        <sz val="7"/>
        <color indexed="8"/>
        <rFont val="Arial"/>
        <family val="2"/>
        <charset val="1"/>
      </rPr>
      <t>st</t>
    </r>
    <r>
      <rPr>
        <sz val="7"/>
        <color indexed="8"/>
        <rFont val="Arial"/>
        <family val="2"/>
        <charset val="1"/>
      </rPr>
      <t xml:space="preserve"> lvl spell) (30)</t>
    </r>
  </si>
  <si>
    <t>Choice of weapon or Armour, +5 NM (0)</t>
  </si>
  <si>
    <t>Body Development CAT 0</t>
  </si>
  <si>
    <t>Body Development 1</t>
  </si>
  <si>
    <t>Weapon/Attack skill CAT 1</t>
  </si>
  <si>
    <t>Weapon/Attack (choice) 1</t>
  </si>
  <si>
    <t>Athletic – Gymnastic CAT 2</t>
  </si>
  <si>
    <t>Climbing 1</t>
  </si>
  <si>
    <t>Athletic – Endurance CAT 2</t>
  </si>
  <si>
    <t>Swimming 1</t>
  </si>
  <si>
    <t>Awareness – Perception CAT 0</t>
  </si>
  <si>
    <t>Alertness 2</t>
  </si>
  <si>
    <t>Awareness – Searching CAT 2</t>
  </si>
  <si>
    <t>Observation 1</t>
  </si>
  <si>
    <t>Power Awareness CAT 1</t>
  </si>
  <si>
    <t>Attunement 1</t>
  </si>
  <si>
    <t>Techincal/Trade – General CAT 1</t>
  </si>
  <si>
    <t>First Aid 1</t>
  </si>
  <si>
    <t>choice of two different stats</t>
  </si>
  <si>
    <t>CE</t>
  </si>
  <si>
    <t>Chaotic Evil</t>
  </si>
  <si>
    <t>Path of Luxury: Hedonism</t>
  </si>
  <si>
    <t>Hedonism</t>
  </si>
  <si>
    <t>Amateur Mage (L)</t>
  </si>
  <si>
    <t>Spell Adder +2 (50)</t>
  </si>
  <si>
    <r>
      <t>Daily II item (casting a 3</t>
    </r>
    <r>
      <rPr>
        <vertAlign val="superscript"/>
        <sz val="7"/>
        <color indexed="8"/>
        <rFont val="Arial"/>
        <family val="2"/>
        <charset val="1"/>
      </rPr>
      <t>rd</t>
    </r>
    <r>
      <rPr>
        <sz val="7"/>
        <color indexed="8"/>
        <rFont val="Arial"/>
        <family val="2"/>
        <charset val="1"/>
      </rPr>
      <t xml:space="preserve"> level spell) (50)</t>
    </r>
  </si>
  <si>
    <r>
      <t>Daily I item (castin a 5</t>
    </r>
    <r>
      <rPr>
        <vertAlign val="superscript"/>
        <sz val="7"/>
        <color indexed="8"/>
        <rFont val="Arial"/>
        <family val="2"/>
        <charset val="1"/>
      </rPr>
      <t>th</t>
    </r>
    <r>
      <rPr>
        <sz val="7"/>
        <color indexed="8"/>
        <rFont val="Arial"/>
        <family val="2"/>
        <charset val="1"/>
      </rPr>
      <t xml:space="preserve"> level spell) (40)</t>
    </r>
  </si>
  <si>
    <t>Spell Multiplier x2 (10)</t>
  </si>
  <si>
    <t>Spell Adder +1 (0)</t>
  </si>
  <si>
    <t>Lore – Magical Cat 2</t>
  </si>
  <si>
    <t>choice of one skill 2</t>
  </si>
  <si>
    <t>Lore – Technical CAT 1</t>
  </si>
  <si>
    <t>Choice of one skill 1</t>
  </si>
  <si>
    <t>Power Awareness Cat 2</t>
  </si>
  <si>
    <t>Reading Runes 1</t>
  </si>
  <si>
    <t>Power Manipulation Cat 0</t>
  </si>
  <si>
    <t>One non-R skill 1</t>
  </si>
  <si>
    <t>Up to 2 TP spell lists 6 (total)</t>
  </si>
  <si>
    <t>Mentor background option or any TP that awards ranks in any skill in the Spell group (-6 points)</t>
  </si>
  <si>
    <t>Any skill in the Lore Group</t>
  </si>
  <si>
    <t>one realm stat, Memory</t>
  </si>
  <si>
    <t>Animal Friend (L)</t>
  </si>
  <si>
    <t>Wolf friend (20)</t>
  </si>
  <si>
    <t>Wild cat friend (30)</t>
  </si>
  <si>
    <t>Raccoon friend (40)</t>
  </si>
  <si>
    <t>Ferret friend (40)</t>
  </si>
  <si>
    <t>Owl friend (40)</t>
  </si>
  <si>
    <t>Pigeon friend (50)</t>
  </si>
  <si>
    <t>Snake friend (30)</t>
  </si>
  <si>
    <t>Normal dog friend (mutt) (0)</t>
  </si>
  <si>
    <t>Outdoor – Environmental CAT 2</t>
  </si>
  <si>
    <t>choice up to two skills 2 (total)</t>
  </si>
  <si>
    <t>Outdoor Animal CAT 4</t>
  </si>
  <si>
    <t>choice of up to three skills 4</t>
  </si>
  <si>
    <t>Lore – General CAT 4</t>
  </si>
  <si>
    <t>Fauna Lore 2</t>
  </si>
  <si>
    <t>Flora Lore 1</t>
  </si>
  <si>
    <t>Region Lore 1</t>
  </si>
  <si>
    <t>Reading Tracks 1</t>
  </si>
  <si>
    <t>Tracking 1</t>
  </si>
  <si>
    <t>Subterfuge – Stealth CAT 2</t>
  </si>
  <si>
    <t>Stalking 1</t>
  </si>
  <si>
    <t>Hiding 1</t>
  </si>
  <si>
    <t>Animal Handler (V), EC</t>
  </si>
  <si>
    <t>Prominent scar from animal encounter (30)</t>
  </si>
  <si>
    <t>Caged Wolf (30)</t>
  </si>
  <si>
    <t>Caged Wild Cat (30)</t>
  </si>
  <si>
    <t>Caged Owl (30)</t>
  </si>
  <si>
    <t>Caged Ferret (40)</t>
  </si>
  <si>
    <t>Lasso, net and thick gloves (50)</t>
  </si>
  <si>
    <t>Caged Lizard (40)</t>
  </si>
  <si>
    <t>Caged Bat (40)</t>
  </si>
  <si>
    <t>Groom's Box: 2 brushes, hoof pick etc. (50)</t>
  </si>
  <si>
    <t>Caged Rat (50)</t>
  </si>
  <si>
    <t>Basket with snake (20)</t>
  </si>
  <si>
    <t>Bag of dried fruit (50)</t>
  </si>
  <si>
    <t>Leash with harness (50)</t>
  </si>
  <si>
    <t>Caged Pigeons 2 (0)</t>
  </si>
  <si>
    <t>Lore - General CAT 1</t>
  </si>
  <si>
    <t>Fauna Lore 3</t>
  </si>
  <si>
    <t>Outdoor – Animal CAT 3</t>
  </si>
  <si>
    <t>Animal Handling (animal A) 2</t>
  </si>
  <si>
    <t>Animal Handling (animal B) 1</t>
  </si>
  <si>
    <t>Animal Handling (animal C) 1</t>
  </si>
  <si>
    <t>Animal Healing (animal A) 1</t>
  </si>
  <si>
    <t>Animal Mastery (animal A) 1</t>
  </si>
  <si>
    <t>Animal Training (animal A) 2</t>
  </si>
  <si>
    <t>Animal Friend TP or 90+ temp EM stat (-2 points)</t>
  </si>
  <si>
    <t>Arachnamancer (L), EC</t>
  </si>
  <si>
    <t>Pet spider, Large (30)</t>
  </si>
  <si>
    <t>d10 doses of spider venom (lvl 5 reduction) (50)</t>
  </si>
  <si>
    <t>Lore book on Spiders, +10 to Spider Lore (40)</t>
  </si>
  <si>
    <t>Pet spider, Medium (40)</t>
  </si>
  <si>
    <t>d10 doses of spider venom (lvl 3 reduction) (30)</t>
  </si>
  <si>
    <t>Fang Ring, silver (30)</t>
  </si>
  <si>
    <t>Pet spider, small (0)</t>
  </si>
  <si>
    <t>Awareness – Perceptions CAT 0</t>
  </si>
  <si>
    <t>Sense Ambush 2</t>
  </si>
  <si>
    <t>Crafts CAT 0</t>
  </si>
  <si>
    <t>choice of Spinning or Weaving 3</t>
  </si>
  <si>
    <t>Lore – General CAT 1</t>
  </si>
  <si>
    <t>Fauna Lore (spiders) 3</t>
  </si>
  <si>
    <t>Poison Lore 2</t>
  </si>
  <si>
    <t>Outdoor – Animal CAT 0</t>
  </si>
  <si>
    <t>Animal Handling (spiders) 3</t>
  </si>
  <si>
    <t>Animal Mastery (spiders) 3</t>
  </si>
  <si>
    <t>Spells – TP CAT 0</t>
  </si>
  <si>
    <t>Arachnamancy List 3</t>
  </si>
  <si>
    <t>Techical/Trade – General CAT 1</t>
  </si>
  <si>
    <t>Using Prepared Herb/Poison 4</t>
  </si>
  <si>
    <t>Fauna Lore (spiders), Animal Handling (spiders)</t>
  </si>
  <si>
    <t>Assassin (V)</t>
  </si>
  <si>
    <t>Hand Weapon +10 NM (50)</t>
  </si>
  <si>
    <t>Missile Weapon +10 NM (50)</t>
  </si>
  <si>
    <t>2d10 missiles +10 NM (50)</t>
  </si>
  <si>
    <t>Underwold contacts (30)</t>
  </si>
  <si>
    <t>High ranking favor (20)</t>
  </si>
  <si>
    <t>Reliable safe house (place of hiding) (0)</t>
  </si>
  <si>
    <t>Subterfuge – Mechanics CAT 1</t>
  </si>
  <si>
    <t>Subterfuge – Attack CAT 0</t>
  </si>
  <si>
    <t>choice up to two skills 3 (total)</t>
  </si>
  <si>
    <t>Awaremess – Senses CAT 1</t>
  </si>
  <si>
    <t>choice of one skill 1</t>
  </si>
  <si>
    <t>Special Attacks CAT 0</t>
  </si>
  <si>
    <t>Berserker (L)</t>
  </si>
  <si>
    <t>Hand Weapon +5 NM (50)</t>
  </si>
  <si>
    <t>Two-handed weapon (0)</t>
  </si>
  <si>
    <t>Self Control CAT 4</t>
  </si>
  <si>
    <t>Frenzy 4</t>
  </si>
  <si>
    <t>Weapon skill CAT #1 3</t>
  </si>
  <si>
    <t>choice of two skills 3 (total)</t>
  </si>
  <si>
    <t>Weapon skill CAT #2 1</t>
  </si>
  <si>
    <t>choice of one weapon skill 1</t>
  </si>
  <si>
    <t>Strength</t>
  </si>
  <si>
    <t>Burglar (V)</t>
  </si>
  <si>
    <t>Stolen jewelry worth 10d10 sp (50)</t>
  </si>
  <si>
    <t>Stolen gems worth 10d10 sp (50)</t>
  </si>
  <si>
    <t>Stolen piece of art worth 10d10 sp (50)</t>
  </si>
  <si>
    <t>Lockpick kit +10 NM (30)</t>
  </si>
  <si>
    <t>Disarm Trap kit +10 NM (30)</t>
  </si>
  <si>
    <t>Reliable fencing contacts (20)</t>
  </si>
  <si>
    <t>Lockpick and disarm trap kit +5 NM (0)</t>
  </si>
  <si>
    <t>Subterfuge – Mechanics CAT 2</t>
  </si>
  <si>
    <t>choice of up to two skills 2 (total)</t>
  </si>
  <si>
    <t>Weapon/Attack skill 1</t>
  </si>
  <si>
    <t>Lore – General CAT 2</t>
  </si>
  <si>
    <t>Culture Lore (spesific city) 1</t>
  </si>
  <si>
    <t>Heraldry 1</t>
  </si>
  <si>
    <t>Lore – Technical CAT 2</t>
  </si>
  <si>
    <t>Lock Lore 2</t>
  </si>
  <si>
    <t>City Guard (V)</t>
  </si>
  <si>
    <t>Useful city contacts (20)</t>
  </si>
  <si>
    <t>Useful underworld contacts (20)</t>
  </si>
  <si>
    <t>Promotion (50)</t>
  </si>
  <si>
    <t>Promotion (40)</t>
  </si>
  <si>
    <t>Promotion (30)</t>
  </si>
  <si>
    <t>Weapon +10 NM (10)</t>
  </si>
  <si>
    <t>Weapon +5 NM (0)</t>
  </si>
  <si>
    <t>Weapon skill CAT (GM Assigned) 2</t>
  </si>
  <si>
    <t>Urban skill CAT 1</t>
  </si>
  <si>
    <t>Streetwise 1</t>
  </si>
  <si>
    <t>Awareness – Searching CAT 1</t>
  </si>
  <si>
    <t>Technical/Trade – General CAT 1</t>
  </si>
  <si>
    <t>Cloistered Academic (L)</t>
  </si>
  <si>
    <t>Patron (provides financial support) (40)</t>
  </si>
  <si>
    <t>Book +10NM to spesific lore (30)</t>
  </si>
  <si>
    <t>Pet (small) (0)</t>
  </si>
  <si>
    <t>choice up to four skills 4 (total)</t>
  </si>
  <si>
    <t>Lore – Technical Cat 3</t>
  </si>
  <si>
    <t>choice up to three skills 3 (total)</t>
  </si>
  <si>
    <t>Lore – Magical CAT 1</t>
  </si>
  <si>
    <t>Science/Analytic – Basic skill CAT 2</t>
  </si>
  <si>
    <t>Research 1</t>
  </si>
  <si>
    <t>Communications skill CAT 3</t>
  </si>
  <si>
    <t>one written language 3</t>
  </si>
  <si>
    <t>Con Man (V)</t>
  </si>
  <si>
    <t>Underworld contacts (30)</t>
  </si>
  <si>
    <t>Favor from an underworld figure (20)</t>
  </si>
  <si>
    <t>Fake identification (+30 Duping) (20)</t>
  </si>
  <si>
    <t>Investment 2d10sp per year (10)</t>
  </si>
  <si>
    <t>Fake identification (+15 Duping) (0)</t>
  </si>
  <si>
    <t>Lie Perception 1</t>
  </si>
  <si>
    <t>Influence CAT 3</t>
  </si>
  <si>
    <t>Duping 2</t>
  </si>
  <si>
    <t>Begging 1</t>
  </si>
  <si>
    <t>Urban CAT 1</t>
  </si>
  <si>
    <t>Conjuror (L), AC</t>
  </si>
  <si>
    <t>Book, +15 to one Magical Lore (50)</t>
  </si>
  <si>
    <t>Book, +5 to Lore – Obscure CAT (40)</t>
  </si>
  <si>
    <t>Book, +15 to one Obscure Lore (40)</t>
  </si>
  <si>
    <t>Summoning Circle on a rug, +10 to Spell Casting Static Mans with summoning spells (30)</t>
  </si>
  <si>
    <t>Summoning Circle etched on floor of current abode, +10 to Spell Casting Static Mans with summoning spells (0)</t>
  </si>
  <si>
    <t>Circle Lore 1</t>
  </si>
  <si>
    <t>Lore – Obscure CAT 3</t>
  </si>
  <si>
    <t>choice of up to three skills 3 (total)</t>
  </si>
  <si>
    <t>Power Manipulation CAT 0</t>
  </si>
  <si>
    <t>Spell – Own Real Open/Base CAT 0</t>
  </si>
  <si>
    <t>choice of one summoning spell list 3</t>
  </si>
  <si>
    <t>Crafter (V)</t>
  </si>
  <si>
    <t>Exceptional crafted work 10d10sp (50)</t>
  </si>
  <si>
    <t>Exceptional crafted work 8d10sp (50)</t>
  </si>
  <si>
    <t>Exceptional crafted work 6d10sp (50)</t>
  </si>
  <si>
    <t>Exceptional crafted work 4d10sp (50)</t>
  </si>
  <si>
    <t>Exceptional crafted work 2d10sp (50)</t>
  </si>
  <si>
    <t>Set of fine crafting tools (+15 to a spesific craft) (40)</t>
  </si>
  <si>
    <t>Set of fine crafting tools (+10 to a spesific craft) (30)</t>
  </si>
  <si>
    <t>Set of fine crafting tools (+5 to a spesific craft) (0)</t>
  </si>
  <si>
    <t>Technical/Trade – General CAT 3</t>
  </si>
  <si>
    <t>Technical/Trade Vocational CAT 0</t>
  </si>
  <si>
    <t>Craft CAT 0</t>
  </si>
  <si>
    <t>Crusading Academic (L)</t>
  </si>
  <si>
    <t>Book +10NM to spesific lore (20)</t>
  </si>
  <si>
    <t>A token/sigil recognized by scholars (50)</t>
  </si>
  <si>
    <t>Riding horse/beast (0)</t>
  </si>
  <si>
    <t>Influence CAT 2</t>
  </si>
  <si>
    <t>Public Speaking 2</t>
  </si>
  <si>
    <t>Communications CAT 5</t>
  </si>
  <si>
    <t>choice up to 5 languages spoken 5 (total)</t>
  </si>
  <si>
    <t>Culture Lore (up to two cultures) 2 (total)</t>
  </si>
  <si>
    <t>Weapon/Attack CAT 1</t>
  </si>
  <si>
    <t>Weapon/Attack 1</t>
  </si>
  <si>
    <t>Outdoor – Environmental CAT 1</t>
  </si>
  <si>
    <t>Cutpurse (V)</t>
  </si>
  <si>
    <t>Stolen document (e.g. Map, deed etc) (50)</t>
  </si>
  <si>
    <t>Disguise kit +10NM (40)</t>
  </si>
  <si>
    <t>Reliable fencing contacts (30)</t>
  </si>
  <si>
    <t>Underworld contacts (0)</t>
  </si>
  <si>
    <t>Subterfuge – Stealth CAT 4</t>
  </si>
  <si>
    <t>Picking Pockets 2</t>
  </si>
  <si>
    <t>Urban CAT 3</t>
  </si>
  <si>
    <t>choice of up to 2 skills 3 (total)</t>
  </si>
  <si>
    <t>Athletic – Gymnastic CAT 1</t>
  </si>
  <si>
    <t>Detective (V)</t>
  </si>
  <si>
    <t>Contacts in a city's administration (40)</t>
  </si>
  <si>
    <t>Piece of jewelery (reward, 10d10 sp) (50)</t>
  </si>
  <si>
    <t>d100 gems (reward, 10d10 sp total) (50)</t>
  </si>
  <si>
    <t>Piece of artwork (reward, d10 sp) (50)</t>
  </si>
  <si>
    <t>Favor from an important person (30)</t>
  </si>
  <si>
    <t>Alertness 4</t>
  </si>
  <si>
    <t>Awareness – Searching CAT 4</t>
  </si>
  <si>
    <t>choice of up to four skills 4 (total)</t>
  </si>
  <si>
    <t>Awareness – Senses CAT 1</t>
  </si>
  <si>
    <t>Influence CAT 1</t>
  </si>
  <si>
    <t>Diplomat (V)</t>
  </si>
  <si>
    <t>Normal + d10 (open ended)</t>
  </si>
  <si>
    <t>City administration contacts in city A (50)</t>
  </si>
  <si>
    <t>City administration contacts in city B (60)</t>
  </si>
  <si>
    <t>Favor from an important person (40)</t>
  </si>
  <si>
    <t>Favor from an important person (20)</t>
  </si>
  <si>
    <t>Potion, one dose, level 1 spell (20)</t>
  </si>
  <si>
    <t>Rune, level 1 spell (20)</t>
  </si>
  <si>
    <t>Finely crafted object (gift) (0)</t>
  </si>
  <si>
    <t>Communications CAT 6</t>
  </si>
  <si>
    <t>choice of up to 3 written languages 3 (total)</t>
  </si>
  <si>
    <t>choice of up to 3 spoken languages 3 (total)</t>
  </si>
  <si>
    <t>Bribery 1</t>
  </si>
  <si>
    <t>Diplomacy 2</t>
  </si>
  <si>
    <t>Culture Lore (culture X) 1</t>
  </si>
  <si>
    <t>Culture Lore (culture Y) 1</t>
  </si>
  <si>
    <t>Region Lore (region P) 1</t>
  </si>
  <si>
    <t>Region Lore (region Q) 1</t>
  </si>
  <si>
    <t>Doctor (V)</t>
  </si>
  <si>
    <t>2d10 Concussion Repair herbs (50)</t>
  </si>
  <si>
    <t>d10 Poison antitodes (30)</t>
  </si>
  <si>
    <t>d10 Burn/Exposure herbs (30)</t>
  </si>
  <si>
    <t>d10 Circulatory Repair herbs (30)</t>
  </si>
  <si>
    <t>d10 General Purpose herbs (30)</t>
  </si>
  <si>
    <t>Superior medical kit +15 NM (30)</t>
  </si>
  <si>
    <t>Medical kit +5 NM (0)</t>
  </si>
  <si>
    <t>Herb Lore 1</t>
  </si>
  <si>
    <t>Technical/Trade – Professional CAT 0</t>
  </si>
  <si>
    <t>Diagnostics 1</t>
  </si>
  <si>
    <t>Second Aid 1</t>
  </si>
  <si>
    <t>Technical/Trade – General CAT 0</t>
  </si>
  <si>
    <t>Use Prepared Herbs/Poison 1</t>
  </si>
  <si>
    <t>Technical/Trade – Vocational CAT 0</t>
  </si>
  <si>
    <t>Midwifery 1</t>
  </si>
  <si>
    <t>Explorer (L)</t>
  </si>
  <si>
    <t>Weapon +10 NM (40)</t>
  </si>
  <si>
    <t>Riding animal (GM's choice) (40)</t>
  </si>
  <si>
    <t>Passage credit on a ship (GM's discredition) (40)</t>
  </si>
  <si>
    <t>d10 herbs (GM's choice) (30)</t>
  </si>
  <si>
    <t>Map of the known world (0)</t>
  </si>
  <si>
    <t>Athletic – Endurance CAT 1</t>
  </si>
  <si>
    <t>Constitution, choice of one other stat</t>
  </si>
  <si>
    <t>Famulus (V), AC</t>
  </si>
  <si>
    <t>Book, +10 to Lore – Magical CAT (30)</t>
  </si>
  <si>
    <t>Book, +15 to one Magic Lore (30)</t>
  </si>
  <si>
    <t>Book, +10 to one Obscure Lore (30)</t>
  </si>
  <si>
    <t>2 Books, each with +5 to one Magical Lore (30)</t>
  </si>
  <si>
    <r>
      <t xml:space="preserve">+1 Spell Adder </t>
    </r>
    <r>
      <rPr>
        <b/>
        <sz val="7"/>
        <color indexed="8"/>
        <rFont val="Arial"/>
        <family val="2"/>
        <charset val="1"/>
      </rPr>
      <t>(</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)+1 Spell Adder (</t>
    </r>
    <r>
      <rPr>
        <sz val="7"/>
        <color indexed="8"/>
        <rFont val="Arial"/>
        <family val="2"/>
        <charset val="1"/>
      </rPr>
      <t>40</t>
    </r>
    <r>
      <rPr>
        <b/>
        <sz val="7"/>
        <color indexed="8"/>
        <rFont val="Arial"/>
        <family val="2"/>
        <charset val="1"/>
      </rPr>
      <t>)</t>
    </r>
  </si>
  <si>
    <t>Close friend with a library curator (20)</t>
  </si>
  <si>
    <t>Close friend with another spell user (50)</t>
  </si>
  <si>
    <t>Close friend with local merchant (0)</t>
  </si>
  <si>
    <t>Lore - General CAT 2</t>
  </si>
  <si>
    <t>Lore – Magical CAT 4</t>
  </si>
  <si>
    <t>choice of up to two skills 4 (total)</t>
  </si>
  <si>
    <t>Scribing 1</t>
  </si>
  <si>
    <t>Valet 1</t>
  </si>
  <si>
    <t>Guardian (L)</t>
  </si>
  <si>
    <t>Melee weapon +10 NM (50)</t>
  </si>
  <si>
    <t>An animal companion (GM's discredition) (30)</t>
  </si>
  <si>
    <t>Camouflaged cloak +10 Hiding (30)</t>
  </si>
  <si>
    <t>Very good boots +10 stalking (30)</t>
  </si>
  <si>
    <t>A token/sigil recognized by local populace (0)</t>
  </si>
  <si>
    <t>Weapon/Attack CAT 2</t>
  </si>
  <si>
    <t>Weapon/Attack 2</t>
  </si>
  <si>
    <t>Armour – Light CAT 2</t>
  </si>
  <si>
    <t>Awaremess – Searching CAT 2</t>
  </si>
  <si>
    <t>Outdoor – Environmental CAT 6</t>
  </si>
  <si>
    <t>choice of up to three skills 6 (total)</t>
  </si>
  <si>
    <t>Herbalist (V)</t>
  </si>
  <si>
    <t>3 Poison antidotes (50)</t>
  </si>
  <si>
    <t>4 Bone Repair herbs (50)</t>
  </si>
  <si>
    <t>10 Burn/Exposure herbs (50)</t>
  </si>
  <si>
    <t>2 Circulatory Repair herbs (50)</t>
  </si>
  <si>
    <t>10 Concussion Repair herbs (50)</t>
  </si>
  <si>
    <t>d10 General Purpose herbs (50)</t>
  </si>
  <si>
    <t>1 Life Preservation herb (50)</t>
  </si>
  <si>
    <t>5 Muscle/Cartilage Repair herbs (50)</t>
  </si>
  <si>
    <t>3 Nerve Repair herbs (50)</t>
  </si>
  <si>
    <t>4 Organ Repair herbs (50)</t>
  </si>
  <si>
    <t>d10 Intoxicant herbs (30)</t>
  </si>
  <si>
    <t>d10 Poison herbs (30)</t>
  </si>
  <si>
    <t>d10 Concussion Repair herbs (0)</t>
  </si>
  <si>
    <t>Horticulture 2</t>
  </si>
  <si>
    <t>Flora Lore 2</t>
  </si>
  <si>
    <t>Herb Lore 2</t>
  </si>
  <si>
    <t>Outdoor – Environmental CAT 4</t>
  </si>
  <si>
    <t>Foraging 3</t>
  </si>
  <si>
    <t>Highwayman (V)</t>
  </si>
  <si>
    <t>Normal + d100 (open ended)</t>
  </si>
  <si>
    <t>Weapon +5 NM (30)</t>
  </si>
  <si>
    <t>Stolen jewelry 5d10 sp (50)</t>
  </si>
  <si>
    <t>Stolen gems 5d10 sp (50)</t>
  </si>
  <si>
    <t>Stolen piece of art 5d10 sp (50)</t>
  </si>
  <si>
    <t>Riding beast (GM's discredition) (0)</t>
  </si>
  <si>
    <t>Weapon skill CAT 1</t>
  </si>
  <si>
    <t>Alertness 1</t>
  </si>
  <si>
    <t>Body Developement CAT 0</t>
  </si>
  <si>
    <t>Body Developement 1</t>
  </si>
  <si>
    <t>Lore – General CAT 3</t>
  </si>
  <si>
    <t>Region Lore 3</t>
  </si>
  <si>
    <t>choice of two skills 2 (total)</t>
  </si>
  <si>
    <t>Hunter (L)</t>
  </si>
  <si>
    <t>d10 Animal Pelts d10 sp each (50)</t>
  </si>
  <si>
    <t>Good set of traps +15 NM (30)</t>
  </si>
  <si>
    <t>Reliable buyer for animal pelts (30)</t>
  </si>
  <si>
    <t>Traps +10 NM (0)</t>
  </si>
  <si>
    <t>Missile Weapon CAT 1</t>
  </si>
  <si>
    <t>Hunting 2</t>
  </si>
  <si>
    <t>choice of two skills 2)</t>
  </si>
  <si>
    <t>Skinning 1</t>
  </si>
  <si>
    <t>Reading Tracks 2</t>
  </si>
  <si>
    <t>Tracking 2</t>
  </si>
  <si>
    <t>Knight (L)</t>
  </si>
  <si>
    <t>Warhorse +10 Riding, Mounted Combat (30)</t>
  </si>
  <si>
    <t>Warhorse +5 Riding, Mounted Combat (30)</t>
  </si>
  <si>
    <t>Warhorse (30)</t>
  </si>
  <si>
    <t>Armour +10 NM (40)</t>
  </si>
  <si>
    <t>Shield +10 NM (50)</t>
  </si>
  <si>
    <t>Armour +5 NM (30)</t>
  </si>
  <si>
    <t>Shield +5 NM (40)</t>
  </si>
  <si>
    <t>Riding horse +5 Riding (0)</t>
  </si>
  <si>
    <t>Melee Weapon CAT 2</t>
  </si>
  <si>
    <t>Armour – Heavy CAT 2</t>
  </si>
  <si>
    <t>Plate 2</t>
  </si>
  <si>
    <t>Combat Maneuvers CAT 0</t>
  </si>
  <si>
    <t>Mounted Combat 1</t>
  </si>
  <si>
    <t>Heraldry 2</t>
  </si>
  <si>
    <t>Outdoor – Animal CAT 1</t>
  </si>
  <si>
    <t>Riding 1</t>
  </si>
  <si>
    <t>Jousing 2</t>
  </si>
  <si>
    <t>Strength, Self Discipline</t>
  </si>
  <si>
    <t>Loremaster (V)</t>
  </si>
  <si>
    <t>Book +20 to a spesific lore (50)</t>
  </si>
  <si>
    <t>Book +15 to a spesific lore (40)</t>
  </si>
  <si>
    <t>Book +10 to a spesific lore CAT (30)</t>
  </si>
  <si>
    <t>1-5 books +5 to a spesific lore (10)</t>
  </si>
  <si>
    <t>Book +5 to a lore CAT (0)</t>
  </si>
  <si>
    <t>Lore - General CAT 6</t>
  </si>
  <si>
    <t>Lore – Obscure CAT 1</t>
  </si>
  <si>
    <t>Lore – Magical CAT 3</t>
  </si>
  <si>
    <t>choice of up to two skills 3 (total)</t>
  </si>
  <si>
    <t>Manipulator (L), AC</t>
  </si>
  <si>
    <t>Know a secret about local noble (50)</t>
  </si>
  <si>
    <t>Know a secret about local noble (30)</t>
  </si>
  <si>
    <t>Contacts with d10 local nobles (30)</t>
  </si>
  <si>
    <t>Know a secret about local ruler/lord (10)</t>
  </si>
  <si>
    <t>Close friends with an assassin (30)</t>
  </si>
  <si>
    <t>Powerful enemies (0)</t>
  </si>
  <si>
    <t>Influence CAT 4</t>
  </si>
  <si>
    <t>Bribery 2</t>
  </si>
  <si>
    <t>Seduction 2</t>
  </si>
  <si>
    <t>Artistic – Active CAT 2</t>
  </si>
  <si>
    <t>Acting 1</t>
  </si>
  <si>
    <t>Science/Analytic – Specialised skill CAT 0</t>
  </si>
  <si>
    <t>Psychology 2</t>
  </si>
  <si>
    <t>Spells – Own Realm Open/Base CAT 0</t>
  </si>
  <si>
    <t>choice of one evil mentalism spell list 3</t>
  </si>
  <si>
    <t>Martial Artist (L)</t>
  </si>
  <si>
    <t>Book +10 to a spesific lore (40)</t>
  </si>
  <si>
    <t>Book +5 to a lore CAT (40)</t>
  </si>
  <si>
    <t>Gloves +5 MA Strikes (30)</t>
  </si>
  <si>
    <t>Boots +5 MA Sweeps (30)</t>
  </si>
  <si>
    <t>Cloak +10 Hiding (40)</t>
  </si>
  <si>
    <t>Book +5 NM to a spesific lore (0)</t>
  </si>
  <si>
    <t>Martial Arts – Strikes CAT 3</t>
  </si>
  <si>
    <t>1. Degree 2</t>
  </si>
  <si>
    <t>2. Degree 1</t>
  </si>
  <si>
    <t>Martial Arts – Sweeps CAT 3</t>
  </si>
  <si>
    <t>Artistic – Passive CAT 2</t>
  </si>
  <si>
    <t>Strength, Agility</t>
  </si>
  <si>
    <t>Mercenary (L)</t>
  </si>
  <si>
    <t>Weapon +10 NM (50)</t>
  </si>
  <si>
    <t>Armour +10 NM (50)</t>
  </si>
  <si>
    <t>Medal for wartime performance (50)</t>
  </si>
  <si>
    <t>Favor from military figure (50)</t>
  </si>
  <si>
    <t>Extra d10 (open ended) in money (50)</t>
  </si>
  <si>
    <t>Extra d10 (open ended) in money (0)</t>
  </si>
  <si>
    <t>Weapon skill CAT 2</t>
  </si>
  <si>
    <t>Armour – Light CAT 1</t>
  </si>
  <si>
    <t>Athletic – Brawn CAT 1</t>
  </si>
  <si>
    <t>Body Developement 2</t>
  </si>
  <si>
    <t>Communications CAT 0</t>
  </si>
  <si>
    <t>choice of one spoken language 2</t>
  </si>
  <si>
    <t>Techincal/Trade – Professional CAT 0</t>
  </si>
  <si>
    <t>Military Organization 1</t>
  </si>
  <si>
    <t>Techincal/Trade – Vocational CAT 0</t>
  </si>
  <si>
    <t>Siege Engineering 1</t>
  </si>
  <si>
    <t>Merchant (V)</t>
  </si>
  <si>
    <t>Close friends with a merchant (40)</t>
  </si>
  <si>
    <t>Merchant's scale and weights (30)</t>
  </si>
  <si>
    <t>Trade goods 10d10 sp (30)</t>
  </si>
  <si>
    <t>Trade goods d10 sp (0)</t>
  </si>
  <si>
    <t>Communications CAT 3</t>
  </si>
  <si>
    <t>choice of up to three languages 3 (total)</t>
  </si>
  <si>
    <t>Science/Analytic – Basic CAT 1</t>
  </si>
  <si>
    <t>Basic Math 1</t>
  </si>
  <si>
    <t>Advertising 1</t>
  </si>
  <si>
    <t>Appraisal 2</t>
  </si>
  <si>
    <t>Necromancer (L), AC</t>
  </si>
  <si>
    <t>Weapon or Armour +10 NM (20)</t>
  </si>
  <si>
    <t>Close friends with a grave digger (30)</t>
  </si>
  <si>
    <t>Ancient family heirloom (from a lost lord) (30)</t>
  </si>
  <si>
    <t>Book , +20 to History (30)</t>
  </si>
  <si>
    <t>Assorted jewelry worth 2d10 sp (30)</t>
  </si>
  <si>
    <t>Faithful assistant (e.g. Hunchback, animated limb, etc.) (30)</t>
  </si>
  <si>
    <t>Digging tools +10 NM (0)</t>
  </si>
  <si>
    <t>Surgery 1</t>
  </si>
  <si>
    <t>Science/Analytic – Specialised CAT 0</t>
  </si>
  <si>
    <t>Anatomy 3</t>
  </si>
  <si>
    <t>Lore – Magical CAT 2</t>
  </si>
  <si>
    <t>Undead Lore 2</t>
  </si>
  <si>
    <t>choice of up to two history/culture skills 2 (total)</t>
  </si>
  <si>
    <t>Necromancy spell list 3</t>
  </si>
  <si>
    <t>Performer (V)</t>
  </si>
  <si>
    <t>Disguise kit +15 NM (50)</t>
  </si>
  <si>
    <t>Performance props +10 NM (50)</t>
  </si>
  <si>
    <t>Close friends with a tavern owner (40)</t>
  </si>
  <si>
    <t>Close friends with a famous performer (20)</t>
  </si>
  <si>
    <t>Make-up kit +5 NM (0)</t>
  </si>
  <si>
    <t>Artistic – Active CAT 3</t>
  </si>
  <si>
    <t>choice of one skill 3</t>
  </si>
  <si>
    <t>choice of up to five langauges 5 (total)</t>
  </si>
  <si>
    <t>Philosopher (L)</t>
  </si>
  <si>
    <t>1-5 books, +5 to spesific lore skills (50)</t>
  </si>
  <si>
    <t>1-5 books, +5 to spesific science skills (50)</t>
  </si>
  <si>
    <t>Large book +10 to a spesific lore CAT (30)</t>
  </si>
  <si>
    <t>Large book +10 to a spesific science CAT (30)</t>
  </si>
  <si>
    <t>Spell Adder +1 (20)</t>
  </si>
  <si>
    <t>A book +5 spesific lore (0)</t>
  </si>
  <si>
    <t>Lore - General CAT 5</t>
  </si>
  <si>
    <t>choice of up to four skills 5 (total)</t>
  </si>
  <si>
    <t>Science/Analytic – Basic CAT 2</t>
  </si>
  <si>
    <t>Artistic – Passive CAT 1</t>
  </si>
  <si>
    <t>choice of up to five languages 10 (total)</t>
  </si>
  <si>
    <t>Runemaster (L), AC</t>
  </si>
  <si>
    <r>
      <t>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(20)Rune Paper 10</t>
    </r>
    <r>
      <rPr>
        <vertAlign val="superscript"/>
        <sz val="7"/>
        <color indexed="8"/>
        <rFont val="Arial"/>
        <family val="2"/>
        <charset val="1"/>
      </rPr>
      <t>th</t>
    </r>
    <r>
      <rPr>
        <sz val="7"/>
        <color indexed="8"/>
        <rFont val="Arial"/>
        <family val="2"/>
        <charset val="1"/>
      </rPr>
      <t xml:space="preserve"> lvl (20)</t>
    </r>
  </si>
  <si>
    <r>
      <t>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(30)Rune Paper 5</t>
    </r>
    <r>
      <rPr>
        <vertAlign val="superscript"/>
        <sz val="7"/>
        <color indexed="8"/>
        <rFont val="Arial"/>
        <family val="2"/>
        <charset val="1"/>
      </rPr>
      <t>th</t>
    </r>
    <r>
      <rPr>
        <sz val="7"/>
        <color indexed="8"/>
        <rFont val="Arial"/>
        <family val="2"/>
        <charset val="1"/>
      </rPr>
      <t xml:space="preserve"> lvl (30)</t>
    </r>
  </si>
  <si>
    <r>
      <t xml:space="preserve">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(40)Rune Paper </t>
    </r>
    <r>
      <rPr>
        <vertAlign val="superscript"/>
        <sz val="7"/>
        <color indexed="8"/>
        <rFont val="Arial"/>
        <family val="2"/>
        <charset val="1"/>
      </rPr>
      <t>3rd</t>
    </r>
    <r>
      <rPr>
        <sz val="7"/>
        <color indexed="8"/>
        <rFont val="Arial"/>
        <family val="2"/>
        <charset val="1"/>
      </rPr>
      <t xml:space="preserve"> lvl (40)</t>
    </r>
  </si>
  <si>
    <r>
      <t>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(0)Rune Paper 1</t>
    </r>
    <r>
      <rPr>
        <vertAlign val="superscript"/>
        <sz val="7"/>
        <color indexed="8"/>
        <rFont val="Arial"/>
        <family val="2"/>
        <charset val="1"/>
      </rPr>
      <t>st</t>
    </r>
    <r>
      <rPr>
        <sz val="7"/>
        <color indexed="8"/>
        <rFont val="Arial"/>
        <family val="2"/>
        <charset val="1"/>
      </rPr>
      <t xml:space="preserve"> lvl (0)</t>
    </r>
  </si>
  <si>
    <t>Power Awareness CAT 3</t>
  </si>
  <si>
    <t>Read Runes 3</t>
  </si>
  <si>
    <t>Lore – Magical CAT 5</t>
  </si>
  <si>
    <t>Symbol Lore 3</t>
  </si>
  <si>
    <t>Paper-making 2</t>
  </si>
  <si>
    <t>Rune Mastery spell list 3</t>
  </si>
  <si>
    <t>Memory, Empathy</t>
  </si>
  <si>
    <t>Sailor (V)</t>
  </si>
  <si>
    <t>Passage creding on a ship (50)</t>
  </si>
  <si>
    <t>Trade good 10d10 sp (40)</t>
  </si>
  <si>
    <t>Close friends with a tavern owner (20)</t>
  </si>
  <si>
    <t>Close friends with a ship captain (20)</t>
  </si>
  <si>
    <t>Passage creding on a ship (0)</t>
  </si>
  <si>
    <t>Swimming 2</t>
  </si>
  <si>
    <t>Rope Mastery 1</t>
  </si>
  <si>
    <t>shoice of Star Gazing or Weather Watching 1</t>
  </si>
  <si>
    <t>Orienteering 1</t>
  </si>
  <si>
    <t>Scout (V)</t>
  </si>
  <si>
    <t>1 detailed map of a region (40)</t>
  </si>
  <si>
    <t>d10 sketchy maps of several regions (40)</t>
  </si>
  <si>
    <t>Good riding beast +10 Riding (30)</t>
  </si>
  <si>
    <t>Missile weapon +5 NM (20)</t>
  </si>
  <si>
    <t>Outdoor – Environmental CAT 3</t>
  </si>
  <si>
    <t>Outdoor Animal CAT 2</t>
  </si>
  <si>
    <t>Observation 2</t>
  </si>
  <si>
    <t>Read Tracks 1</t>
  </si>
  <si>
    <t>Shaman Priest (L)</t>
  </si>
  <si>
    <t>Large animal companion (GM's choice) (20)</t>
  </si>
  <si>
    <t>Spell adder +1 (50)</t>
  </si>
  <si>
    <r>
      <t>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(40)Daily I item (2</t>
    </r>
    <r>
      <rPr>
        <vertAlign val="superscript"/>
        <sz val="7"/>
        <color indexed="8"/>
        <rFont val="Arial"/>
        <family val="2"/>
        <charset val="1"/>
      </rPr>
      <t>nd</t>
    </r>
    <r>
      <rPr>
        <sz val="7"/>
        <color indexed="8"/>
        <rFont val="Arial"/>
        <family val="2"/>
        <charset val="1"/>
      </rPr>
      <t xml:space="preserve"> level spell) (40)</t>
    </r>
  </si>
  <si>
    <t>Small animal companion (GM's choice) (0)</t>
  </si>
  <si>
    <t>Spells – Own Realm Open List CAT 0</t>
  </si>
  <si>
    <t>choice of one list 2</t>
  </si>
  <si>
    <t>Communications CAT 2</t>
  </si>
  <si>
    <t>choice of one language 2</t>
  </si>
  <si>
    <t>Intuition, Presence</t>
  </si>
  <si>
    <t>Soldier (V)</t>
  </si>
  <si>
    <t>Melee weapon +10 NM (30)</t>
  </si>
  <si>
    <t>Missile Weapon +10 NM (30)</t>
  </si>
  <si>
    <t>Shield +10 NM (40)</t>
  </si>
  <si>
    <t>Helm +10 NM (50)</t>
  </si>
  <si>
    <t>Friends with a ranking officer (20)</t>
  </si>
  <si>
    <t>Promotion (20)</t>
  </si>
  <si>
    <t>Nothing special (0)</t>
  </si>
  <si>
    <t>Military Organizaion 1</t>
  </si>
  <si>
    <t>Spy (V)</t>
  </si>
  <si>
    <t>False Identification +10 NM (50)</t>
  </si>
  <si>
    <t>Cloak +10 NM (40)</t>
  </si>
  <si>
    <t>Contacts within friendly government (40)</t>
  </si>
  <si>
    <t>Lock picks +10 NM (30)</t>
  </si>
  <si>
    <t>Important papers worth 10d10 sp (20)</t>
  </si>
  <si>
    <t>Traveler (V)</t>
  </si>
  <si>
    <t>Weather-resistant clothing (80)</t>
  </si>
  <si>
    <t>Riding beast (GM's discretion) (30)</t>
  </si>
  <si>
    <t>Simple map of the local region (0)</t>
  </si>
  <si>
    <t>Wanderer (L)</t>
  </si>
  <si>
    <t>Riding beast (GM's discretion) (40)</t>
  </si>
  <si>
    <t>Cloak +5 Hiding (30)</t>
  </si>
  <si>
    <t>Boots +5 Stalking (30)</t>
  </si>
  <si>
    <t>Simple map of the known world (0)</t>
  </si>
  <si>
    <t>Lore - General CAT 3</t>
  </si>
  <si>
    <t>Warlock (L), AC</t>
  </si>
  <si>
    <r>
      <t xml:space="preserve">+2 Spell Adder </t>
    </r>
    <r>
      <rPr>
        <b/>
        <sz val="7"/>
        <color indexed="8"/>
        <rFont val="Arial"/>
        <family val="2"/>
        <charset val="1"/>
      </rPr>
      <t>(</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)+2 Spell Adder (</t>
    </r>
    <r>
      <rPr>
        <sz val="7"/>
        <color indexed="8"/>
        <rFont val="Arial"/>
        <family val="2"/>
        <charset val="1"/>
      </rPr>
      <t>20</t>
    </r>
    <r>
      <rPr>
        <b/>
        <sz val="7"/>
        <color indexed="8"/>
        <rFont val="Arial"/>
        <family val="2"/>
        <charset val="1"/>
      </rPr>
      <t>)</t>
    </r>
  </si>
  <si>
    <t>Faithful servant/lackey (20)</t>
  </si>
  <si>
    <t>Faithful servant/lackey (30)</t>
  </si>
  <si>
    <t>Knowledge of the location of an Earthnode (20)</t>
  </si>
  <si>
    <t>+1 Spell Adder (0)</t>
  </si>
  <si>
    <t>Power Awareness CAT 2</t>
  </si>
  <si>
    <t>Directed Spells CAT 1</t>
  </si>
  <si>
    <t>Self Control CAT 1</t>
  </si>
  <si>
    <t>Meditation 1</t>
  </si>
  <si>
    <t>Choice of one Evil Essence spell list 3</t>
  </si>
  <si>
    <t>Guild Apprentice (L), EC</t>
  </si>
  <si>
    <t>Favor from a guildmaster (40)</t>
  </si>
  <si>
    <t>Lore Book, +10 NM to one spesific lore (40)</t>
  </si>
  <si>
    <t>Rival apprentice (50)</t>
  </si>
  <si>
    <t>Lore Book, +10 NM to one spesific lore (30)</t>
  </si>
  <si>
    <t>Spell Adder +1 (30)</t>
  </si>
  <si>
    <r>
      <t>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t>
    </r>
  </si>
  <si>
    <t>Friendly contact at local library (60)</t>
  </si>
  <si>
    <t>Friendly contact at local pub (0)</t>
  </si>
  <si>
    <t>choice of Attunement or Read Runes 3 (total)</t>
  </si>
  <si>
    <t>Spell List – Own Realm TP List 0</t>
  </si>
  <si>
    <t>Guildcraft Mastery 3</t>
  </si>
  <si>
    <t>Technical/Trade – General CAT 2</t>
  </si>
  <si>
    <t>Total temp stats for ME and RE of 180 or greater (-5 points)</t>
  </si>
  <si>
    <t>Memory and realm stat</t>
  </si>
  <si>
    <t>Crystalist Caster (L), EC</t>
  </si>
  <si>
    <t>Necklace with large crystal 3d10 gp (20)</t>
  </si>
  <si>
    <t>Pendant with medium crystal d10 gp (30)</t>
  </si>
  <si>
    <t>Catalyst bracer (50)</t>
  </si>
  <si>
    <t>Broach with small crystals d10 gp (40)</t>
  </si>
  <si>
    <t>Two small crystal gemstones d10 gp (40)</t>
  </si>
  <si>
    <t>Mineral solution (1 pint) (30)</t>
  </si>
  <si>
    <t>Small crystal gemstone d10-5 gp (30)</t>
  </si>
  <si>
    <t>Tiny crystal gemstone d10 sp (0)</t>
  </si>
  <si>
    <t>Stone-crafting (Gem Cutting) 2</t>
  </si>
  <si>
    <t>Stone Lore 2</t>
  </si>
  <si>
    <t>Evaluate Stone 3</t>
  </si>
  <si>
    <t xml:space="preserve">Spells – TP CAT 0 </t>
  </si>
  <si>
    <t>Crystalist Casting Spell List 3</t>
  </si>
  <si>
    <t>Corpist Caster (L), EC</t>
  </si>
  <si>
    <t>Large Catalyst Case (9d10 corpus catalysts) (30)</t>
  </si>
  <si>
    <t>Medium Catalyst Case (5d10 corpus catalysts) (30)</t>
  </si>
  <si>
    <t>Small Catalyst Case (3d10 corpus catalysts) (30)</t>
  </si>
  <si>
    <t>Clip Necklace (30)</t>
  </si>
  <si>
    <t>Clip Pin (30)</t>
  </si>
  <si>
    <t>Curing Salts (10 lbs) (30)</t>
  </si>
  <si>
    <t>Preservation Oil (2 lbs) (30)</t>
  </si>
  <si>
    <t>Skinning Knife (60)</t>
  </si>
  <si>
    <t>Empty metal vials x3 (60)</t>
  </si>
  <si>
    <t>Catalysts 1gp worth (0)</t>
  </si>
  <si>
    <t>Outdoor – Environmental CAT 0</t>
  </si>
  <si>
    <t>Corpist Casting Spell List 3</t>
  </si>
  <si>
    <t>Weapon Master (L)</t>
  </si>
  <si>
    <t>Weapon +15 NM (40)</t>
  </si>
  <si>
    <t>Weapon skill CAT #1 5</t>
  </si>
  <si>
    <t>choice of up to five skills 5 (total)</t>
  </si>
  <si>
    <t>Weapon skill CAT #2 4</t>
  </si>
  <si>
    <t>Weapon skill CAT #3 3</t>
  </si>
  <si>
    <t>choice of one other skill 1</t>
  </si>
  <si>
    <t>Weapon skill CAT #4 1</t>
  </si>
  <si>
    <t>Catalyst Collector (V), EC</t>
  </si>
  <si>
    <t>Large Catalyst Case (3d10 random catalysts) (30)</t>
  </si>
  <si>
    <t>Medium Catalyst Case (2d10 random catalysts) (30)</t>
  </si>
  <si>
    <t>Small Catalyst Case (d10 random catalysts) (30)</t>
  </si>
  <si>
    <t>Favor from an important spell user (30)</t>
  </si>
  <si>
    <t>Skinning Knife, +10 skinning (40)</t>
  </si>
  <si>
    <t>Pack Animal (60)</t>
  </si>
  <si>
    <t>Weather resistant clothing (0)</t>
  </si>
  <si>
    <t>Using Prepared Herbs 1</t>
  </si>
  <si>
    <t>Hedge Wizard (L), EC</t>
  </si>
  <si>
    <t>Divination Aid, +15 divination (50)</t>
  </si>
  <si>
    <t>Ritual Focus, +10 to one class of ritual (40)</t>
  </si>
  <si>
    <t>Daily I item (2nd level spell) (30)</t>
  </si>
  <si>
    <t>Ritual Focus, +5 to one class of ritual (40)</t>
  </si>
  <si>
    <t>Incense, 10 doses (40)</t>
  </si>
  <si>
    <t>Prefume, 5 doses (40)</t>
  </si>
  <si>
    <t>Lodestone (40)</t>
  </si>
  <si>
    <t>Silver Mirror (40)</t>
  </si>
  <si>
    <t>Favorable reputation (20)</t>
  </si>
  <si>
    <t>Disreputable reputation (30)</t>
  </si>
  <si>
    <t>Divination Aid, +5 divination (0)</t>
  </si>
  <si>
    <t>Situational Awareness (ritual) 3</t>
  </si>
  <si>
    <t>Time Sense 3</t>
  </si>
  <si>
    <t>Propaganda 1</t>
  </si>
  <si>
    <t>Teaching 2</t>
  </si>
  <si>
    <t>Meditiation 2</t>
  </si>
  <si>
    <t>Divination 2</t>
  </si>
  <si>
    <t>Magical Ritual – choice of up to 3 classes 6 (total)</t>
  </si>
  <si>
    <t>Magic Bane flaw (-7 points)</t>
  </si>
  <si>
    <t>Magic Ritual, Spell Mastery</t>
  </si>
  <si>
    <t>Herbalist Caster (L), EC</t>
  </si>
  <si>
    <t>Large Catalyst Case (9d10 herbal catalysts) (50)</t>
  </si>
  <si>
    <t>Medium Catalyst Case (5d10 herbal catalysts) (40)</t>
  </si>
  <si>
    <t>Clip Necklace (40)</t>
  </si>
  <si>
    <t>Small Catalyst Case (3d10 herbal catalysts) (30)</t>
  </si>
  <si>
    <t>Small clay flower pots x 6 (30)</t>
  </si>
  <si>
    <t>Clip Broach (20)</t>
  </si>
  <si>
    <t>Gardening kit (40)</t>
  </si>
  <si>
    <t>Bag of Seeds, 5d10 seeds to herbal catalysts (20)</t>
  </si>
  <si>
    <t>Catalysts, 1gp worth (0)</t>
  </si>
  <si>
    <t>Flora Lore 3</t>
  </si>
  <si>
    <t>Lore – Technical CAT 0</t>
  </si>
  <si>
    <t>Herbalist Casting TP Skill List 3</t>
  </si>
  <si>
    <t>Flora Lore, Herb Lore</t>
  </si>
  <si>
    <t>Journeying Apprentice (L), EC</t>
  </si>
  <si>
    <r>
      <t>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(30)Daily III Item (3</t>
    </r>
    <r>
      <rPr>
        <vertAlign val="superscript"/>
        <sz val="7"/>
        <color indexed="8"/>
        <rFont val="Arial"/>
        <family val="2"/>
        <charset val="1"/>
      </rPr>
      <t>rd</t>
    </r>
    <r>
      <rPr>
        <sz val="7"/>
        <color indexed="8"/>
        <rFont val="Arial"/>
        <family val="2"/>
        <charset val="1"/>
      </rPr>
      <t xml:space="preserve"> level spell) (30)</t>
    </r>
  </si>
  <si>
    <t>Spell Adder +2 (30)</t>
  </si>
  <si>
    <t>Map of the Region, +20 to Region Lore (50)</t>
  </si>
  <si>
    <r>
      <t>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(40)Daily II Item (</t>
    </r>
    <r>
      <rPr>
        <vertAlign val="superscript"/>
        <sz val="7"/>
        <color indexed="8"/>
        <rFont val="Arial"/>
        <family val="2"/>
        <charset val="1"/>
      </rPr>
      <t>2nd</t>
    </r>
    <r>
      <rPr>
        <sz val="7"/>
        <color indexed="8"/>
        <rFont val="Arial"/>
        <family val="2"/>
        <charset val="1"/>
      </rPr>
      <t xml:space="preserve"> level spell) (40)</t>
    </r>
  </si>
  <si>
    <t>Spyglass (30)</t>
  </si>
  <si>
    <t>Spell Adder +1 (40)</t>
  </si>
  <si>
    <r>
      <t>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(60)Daily I Item (</t>
    </r>
    <r>
      <rPr>
        <vertAlign val="superscript"/>
        <sz val="7"/>
        <color indexed="8"/>
        <rFont val="Arial"/>
        <family val="2"/>
        <charset val="1"/>
      </rPr>
      <t>1st</t>
    </r>
    <r>
      <rPr>
        <sz val="7"/>
        <color indexed="8"/>
        <rFont val="Arial"/>
        <family val="2"/>
        <charset val="1"/>
      </rPr>
      <t xml:space="preserve"> level spell) (60)</t>
    </r>
  </si>
  <si>
    <t>Compact cooking set (30)</t>
  </si>
  <si>
    <t>Riding animal (10)</t>
  </si>
  <si>
    <t>Weatherproof clothes (0)</t>
  </si>
  <si>
    <t>choice of up to 3 skills 3 (total)</t>
  </si>
  <si>
    <t>Power Awareness Cat 1</t>
  </si>
  <si>
    <t>Spell Lists – Own realm TP list CAT 0</t>
  </si>
  <si>
    <t>Traveler's Ways 3</t>
  </si>
  <si>
    <t>Librarian (V), EC</t>
  </si>
  <si>
    <t>Rare Book, 15gp or less value (30)</t>
  </si>
  <si>
    <t>Lore Book, +10 to a spesific lore (50)</t>
  </si>
  <si>
    <t>Spectacles (20)</t>
  </si>
  <si>
    <t>Lore Book, +10 to a spesific lore (40)</t>
  </si>
  <si>
    <t>Metal scroll case (40)</t>
  </si>
  <si>
    <t>Stationary set (20 paper, 5 quills, 2 jars of ink) (40)</t>
  </si>
  <si>
    <t>Lore Book, +5 to a spesific lore (0)</t>
  </si>
  <si>
    <t>choice of up to two written languages 4 (total)</t>
  </si>
  <si>
    <t>Scribing 3</t>
  </si>
  <si>
    <t>Diplomacy 1</t>
  </si>
  <si>
    <t>Research 2</t>
  </si>
  <si>
    <t>Nomenist Caster (L), EC</t>
  </si>
  <si>
    <t>Lore Book, +10 to one language (40)</t>
  </si>
  <si>
    <t>Lore Book, +5 to one language (40)</t>
  </si>
  <si>
    <t>Map of Area +10 (30)</t>
  </si>
  <si>
    <t>Favor from a foreigner (30)</t>
  </si>
  <si>
    <t>Lore Book, +10 to one Culture Lore (20)</t>
  </si>
  <si>
    <t>Bag of 100 glass beads (40)</t>
  </si>
  <si>
    <t>Lore Book, +5 to one Culture Lore (0)</t>
  </si>
  <si>
    <t>History 1</t>
  </si>
  <si>
    <t>Science/Analytic – Spesialised CAT 0</t>
  </si>
  <si>
    <t>Anthropology 2</t>
  </si>
  <si>
    <t>Nomenist Casting TP List 3</t>
  </si>
  <si>
    <t>Potioner (L), EC</t>
  </si>
  <si>
    <t>Small Alchemy set (20)</t>
  </si>
  <si>
    <r>
      <t>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(30)Potion, 5</t>
    </r>
    <r>
      <rPr>
        <vertAlign val="superscript"/>
        <sz val="7"/>
        <color indexed="8"/>
        <rFont val="Arial"/>
        <family val="2"/>
        <charset val="1"/>
      </rPr>
      <t>th</t>
    </r>
    <r>
      <rPr>
        <sz val="7"/>
        <color indexed="8"/>
        <rFont val="Arial"/>
        <family val="2"/>
        <charset val="1"/>
      </rPr>
      <t xml:space="preserve"> level spell (30)</t>
    </r>
  </si>
  <si>
    <t>Healing Potion, 2-20 hp (30)</t>
  </si>
  <si>
    <r>
      <t>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(30)Poison, 5</t>
    </r>
    <r>
      <rPr>
        <vertAlign val="superscript"/>
        <sz val="7"/>
        <color indexed="8"/>
        <rFont val="Arial"/>
        <family val="2"/>
        <charset val="1"/>
      </rPr>
      <t>th</t>
    </r>
    <r>
      <rPr>
        <sz val="7"/>
        <color indexed="8"/>
        <rFont val="Arial"/>
        <family val="2"/>
        <charset val="1"/>
      </rPr>
      <t xml:space="preserve"> level circulatory (30)</t>
    </r>
  </si>
  <si>
    <r>
      <t>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(30)Potion, 3</t>
    </r>
    <r>
      <rPr>
        <vertAlign val="superscript"/>
        <sz val="7"/>
        <color indexed="8"/>
        <rFont val="Arial"/>
        <family val="2"/>
        <charset val="1"/>
      </rPr>
      <t>rd</t>
    </r>
    <r>
      <rPr>
        <sz val="7"/>
        <color indexed="8"/>
        <rFont val="Arial"/>
        <family val="2"/>
        <charset val="1"/>
      </rPr>
      <t xml:space="preserve"> level spell (30)</t>
    </r>
  </si>
  <si>
    <t>Healing Potion, 1-10 hp (30)</t>
  </si>
  <si>
    <r>
      <t>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(30)Poison, 3</t>
    </r>
    <r>
      <rPr>
        <vertAlign val="superscript"/>
        <sz val="7"/>
        <color indexed="8"/>
        <rFont val="Arial"/>
        <family val="2"/>
        <charset val="1"/>
      </rPr>
      <t>rd</t>
    </r>
    <r>
      <rPr>
        <sz val="7"/>
        <color indexed="8"/>
        <rFont val="Arial"/>
        <family val="2"/>
        <charset val="1"/>
      </rPr>
      <t xml:space="preserve"> level circulatory (30)</t>
    </r>
  </si>
  <si>
    <t>Metal Vials x 3 (40)</t>
  </si>
  <si>
    <t>Lore Book, +10 to a non-magic lore (0)</t>
  </si>
  <si>
    <t>Alchemy 2</t>
  </si>
  <si>
    <t>Spells – TP Own Realm skill CAT 0</t>
  </si>
  <si>
    <t>choice of one list 3</t>
  </si>
  <si>
    <t>A total of 6 ranks in Alchemy and Biochemistry (-3 points)</t>
  </si>
  <si>
    <t>Spell Researcher (V), EC</t>
  </si>
  <si>
    <t>Magic Tome, 4d10 total spell levels (40)</t>
  </si>
  <si>
    <t>Source Book on Magic, +10 Research; one topic (40)</t>
  </si>
  <si>
    <t>Source Book on Magic, +10 Research; one topic (30)</t>
  </si>
  <si>
    <t>Source Book on Magic, +5 Research; one topic (50)</t>
  </si>
  <si>
    <t>Spell Adder +2 (40)</t>
  </si>
  <si>
    <r>
      <t>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(30)Daily II item (3</t>
    </r>
    <r>
      <rPr>
        <vertAlign val="superscript"/>
        <sz val="7"/>
        <color indexed="8"/>
        <rFont val="Arial"/>
        <family val="2"/>
        <charset val="1"/>
      </rPr>
      <t>rd</t>
    </r>
    <r>
      <rPr>
        <sz val="7"/>
        <color indexed="8"/>
        <rFont val="Arial"/>
        <family val="2"/>
        <charset val="1"/>
      </rPr>
      <t xml:space="preserve"> level spell) (30)</t>
    </r>
  </si>
  <si>
    <t>Spectacles (40)</t>
  </si>
  <si>
    <t>Time Sense 1</t>
  </si>
  <si>
    <t>Teaching 1</t>
  </si>
  <si>
    <t>Read Runes 4</t>
  </si>
  <si>
    <t>Science/Analytic – Basic CAT 4</t>
  </si>
  <si>
    <t>Research 4</t>
  </si>
  <si>
    <t>A total of 20 ranks in skills in the Lore group (-5 points)</t>
  </si>
  <si>
    <t>Spell Student (V), EC</t>
  </si>
  <si>
    <t>Favor from a professor (50)</t>
  </si>
  <si>
    <t>Lore Book, +15 to a non-magic lore (40)</t>
  </si>
  <si>
    <t>Rival student (30)</t>
  </si>
  <si>
    <t>Lore Book, +10 to a non-magic lore (30)</t>
  </si>
  <si>
    <r>
      <t>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(30)Daily III Item (2</t>
    </r>
    <r>
      <rPr>
        <vertAlign val="superscript"/>
        <sz val="7"/>
        <color indexed="8"/>
        <rFont val="Arial"/>
        <family val="2"/>
        <charset val="1"/>
      </rPr>
      <t>nd</t>
    </r>
    <r>
      <rPr>
        <sz val="7"/>
        <color indexed="8"/>
        <rFont val="Arial"/>
        <family val="2"/>
        <charset val="1"/>
      </rPr>
      <t xml:space="preserve"> level spell) (30)</t>
    </r>
  </si>
  <si>
    <t>Reputation in local marketplace (good or bad) (30)</t>
  </si>
  <si>
    <r>
      <t>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(30)Daily II Item (1</t>
    </r>
    <r>
      <rPr>
        <vertAlign val="superscript"/>
        <sz val="7"/>
        <color indexed="8"/>
        <rFont val="Arial"/>
        <family val="2"/>
        <charset val="1"/>
      </rPr>
      <t>st</t>
    </r>
    <r>
      <rPr>
        <sz val="7"/>
        <color indexed="8"/>
        <rFont val="Arial"/>
        <family val="2"/>
        <charset val="1"/>
      </rPr>
      <t xml:space="preserve"> level spell) (30)</t>
    </r>
  </si>
  <si>
    <t>Lore – Magical Cat 3</t>
  </si>
  <si>
    <t>choice of up to 4 skills 4 (total)</t>
  </si>
  <si>
    <t>choice of either Guildcraft Mastery or Traveler's Ways 3</t>
  </si>
  <si>
    <t>Urban CAT 2</t>
  </si>
  <si>
    <t>Chancellor (V), CC</t>
  </si>
  <si>
    <t>Holy symbol, +10 spell casting (50)</t>
  </si>
  <si>
    <t>Relic of the faith, +10 Influence skills (40)</t>
  </si>
  <si>
    <t>Favor owed by a Mythic (30)</t>
  </si>
  <si>
    <t>Favor performed for faith, one time +10 to Divine Intervention (30)</t>
  </si>
  <si>
    <t>A powerful religious relic (20)</t>
  </si>
  <si>
    <t>Noble patron (0)</t>
  </si>
  <si>
    <t>Communications CAT 1</t>
  </si>
  <si>
    <t>Propaganda 2</t>
  </si>
  <si>
    <t>Public Speaking 3</t>
  </si>
  <si>
    <t>Religion 3</t>
  </si>
  <si>
    <t>Philosophy 1</t>
  </si>
  <si>
    <t>Spesific lore related to religion 1</t>
  </si>
  <si>
    <t>Divination 1</t>
  </si>
  <si>
    <t>Channeling 2</t>
  </si>
  <si>
    <t>Spells – Own Realm, Open CAT 0</t>
  </si>
  <si>
    <t>Ceremonies 2</t>
  </si>
  <si>
    <t>choice of one spell list 3</t>
  </si>
  <si>
    <t>Administration 3</t>
  </si>
  <si>
    <t>At least 12 ranks in Religion (-4 points)</t>
  </si>
  <si>
    <t>Cultist (L), CC</t>
  </si>
  <si>
    <t>Book, +15 to Magic Lore (50)</t>
  </si>
  <si>
    <t>Enemies with a rival cult (40)</t>
  </si>
  <si>
    <t>Book, +5 to Magic Lore (30)</t>
  </si>
  <si>
    <t>Book, +5 to Obscure Lore (30)</t>
  </si>
  <si>
    <r>
      <t>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(20)Daily II Item (2</t>
    </r>
    <r>
      <rPr>
        <vertAlign val="superscript"/>
        <sz val="7"/>
        <color indexed="8"/>
        <rFont val="Arial"/>
        <family val="2"/>
        <charset val="1"/>
      </rPr>
      <t>nd</t>
    </r>
    <r>
      <rPr>
        <sz val="7"/>
        <color indexed="8"/>
        <rFont val="Arial"/>
        <family val="2"/>
        <charset val="1"/>
      </rPr>
      <t xml:space="preserve"> level spell) (20)</t>
    </r>
  </si>
  <si>
    <t>Summoner (friend or enemy; GM's discretion) (20)</t>
  </si>
  <si>
    <t>Special Training, +10 OB vs spesific creature (10)</t>
  </si>
  <si>
    <t>Special Ward, +10 protection vs spesific creature (0)</t>
  </si>
  <si>
    <t>Reality Awareness 2</t>
  </si>
  <si>
    <t>Religion 1</t>
  </si>
  <si>
    <t>spesific lore related to religion 1</t>
  </si>
  <si>
    <t>Demon/Devil Lore 2</t>
  </si>
  <si>
    <t>Power Perception 2</t>
  </si>
  <si>
    <t>choice of one spell list 2</t>
  </si>
  <si>
    <t>One Lore – Obscure -skill may be chosen as a Lifestyle skill</t>
  </si>
  <si>
    <t>Inquisitor (V), CC</t>
  </si>
  <si>
    <t>List of ”non-believers” (40)</t>
  </si>
  <si>
    <t>Well-known reputation (30)</t>
  </si>
  <si>
    <t>Elusive target (20)</t>
  </si>
  <si>
    <t>Knows a secret about local clergy member (20)</t>
  </si>
  <si>
    <t>Torturing Tools, +5 Interrogation (0)</t>
  </si>
  <si>
    <t>Awareness – Searching CAT 3</t>
  </si>
  <si>
    <t>Lie Perception 2</t>
  </si>
  <si>
    <t>Interrogation 3</t>
  </si>
  <si>
    <t>Public Speaking 1</t>
  </si>
  <si>
    <t>Contacting 1</t>
  </si>
  <si>
    <t>Medic (V), CC</t>
  </si>
  <si>
    <t>d5 Concussion Repair herbs (50)</t>
  </si>
  <si>
    <t>d5 Poison Antidote herbs (40)</t>
  </si>
  <si>
    <t>d5 Burn Repair herbs (40)</t>
  </si>
  <si>
    <t>d5 Muscle/Cartilage Repair herbs (30)</t>
  </si>
  <si>
    <t>d5 Bone Repair herbs (20)</t>
  </si>
  <si>
    <t>d5 Organ Repair herbs (20)</t>
  </si>
  <si>
    <t>Superior medical kit, +10 (20)</t>
  </si>
  <si>
    <t>Medical kit, +5 (0)</t>
  </si>
  <si>
    <t>Healing Trance 1</t>
  </si>
  <si>
    <t>Spells – Own Real, Open list CAT 0</t>
  </si>
  <si>
    <t>Concussion's Ways 3</t>
  </si>
  <si>
    <t>First Aid 4</t>
  </si>
  <si>
    <t>Using Prepared Herbs 2</t>
  </si>
  <si>
    <t>Technical/Trade – Professional 0</t>
  </si>
  <si>
    <t>Diagnistocs 1</t>
  </si>
  <si>
    <t>Medium (L), CC</t>
  </si>
  <si>
    <t>Holy symbol, +5 spell casting (50)</t>
  </si>
  <si>
    <t>Special foucs item, +10 to entering trances (40)</t>
  </si>
  <si>
    <t>Favor from a high priest (10)</t>
  </si>
  <si>
    <t>Special religions token/sigil (0)</t>
  </si>
  <si>
    <t>Religion 2</t>
  </si>
  <si>
    <t>Channeling 3</t>
  </si>
  <si>
    <t>Adrenal Stabilization 1</t>
  </si>
  <si>
    <t>Cleansing Trance 2</t>
  </si>
  <si>
    <t>Healing Trance 2</t>
  </si>
  <si>
    <t>Meditation 2</t>
  </si>
  <si>
    <t>Holy Trances 2</t>
  </si>
  <si>
    <t>At least 10 ranks in the Self Control CAT (-3 points)</t>
  </si>
  <si>
    <t>Minister (V), CC</t>
  </si>
  <si>
    <t>Original church text (30)</t>
  </si>
  <si>
    <t>Spell Adder +2 (20)</t>
  </si>
  <si>
    <t>Close friends with a former student (20)</t>
  </si>
  <si>
    <r>
      <t>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(20)Daily III Item (3</t>
    </r>
    <r>
      <rPr>
        <vertAlign val="superscript"/>
        <sz val="7"/>
        <color indexed="8"/>
        <rFont val="Arial"/>
        <family val="2"/>
        <charset val="1"/>
      </rPr>
      <t>rd</t>
    </r>
    <r>
      <rPr>
        <sz val="7"/>
        <color indexed="8"/>
        <rFont val="Arial"/>
        <family val="2"/>
        <charset val="1"/>
      </rPr>
      <t xml:space="preserve"> level spell) (20)</t>
    </r>
  </si>
  <si>
    <t>Religious rival (10)</t>
  </si>
  <si>
    <t>Leadership 2</t>
  </si>
  <si>
    <t>Proselytizing 2</t>
  </si>
  <si>
    <t>Administration 1</t>
  </si>
  <si>
    <t>At least 10 ranks in the Religion (-3 points)</t>
  </si>
  <si>
    <t>Missionary (L), CC</t>
  </si>
  <si>
    <t>Rival missionary (follows and destroys work) (30)</t>
  </si>
  <si>
    <t>Map of region (with historic notations) (30)</t>
  </si>
  <si>
    <t>Traveling companion/familiar (GM's choice) (20)</t>
  </si>
  <si>
    <t>Covenant with deity (yet to be fulfilled) (20)</t>
  </si>
  <si>
    <t>Artistic – Active CAT 0</t>
  </si>
  <si>
    <t>Tale Telling 1</t>
  </si>
  <si>
    <t>Communications CAT 4</t>
  </si>
  <si>
    <t>choice of up to two skills 5 (total)</t>
  </si>
  <si>
    <t>Influence CAT 6</t>
  </si>
  <si>
    <t>Culture Lore 2</t>
  </si>
  <si>
    <t>Region 3</t>
  </si>
  <si>
    <t>Foraging 1</t>
  </si>
  <si>
    <t>Survival 1</t>
  </si>
  <si>
    <t>Proselytizing 3</t>
  </si>
  <si>
    <t>Pilgrim (L), CC</t>
  </si>
  <si>
    <t>Weapon, +5 NM (50)</t>
  </si>
  <si>
    <t>Shield, +5 NM (40)</t>
  </si>
  <si>
    <t>Armour, +5 NM (30)</t>
  </si>
  <si>
    <t>Favor from a Ranger (30)</t>
  </si>
  <si>
    <t>Holy symbol, +5 spell casting (20)</t>
  </si>
  <si>
    <t>Map of region (with historic notations) (20)</t>
  </si>
  <si>
    <t>Protector (L), CC</t>
  </si>
  <si>
    <t>Weapon, +10 NM (50)</t>
  </si>
  <si>
    <t>Weapon, +5 NM (40)</t>
  </si>
  <si>
    <t>Armour, +5 NM (40)</t>
  </si>
  <si>
    <t>Shield, +5 NM (30)</t>
  </si>
  <si>
    <t>Charm, +5 protection against spesific creature (20)</t>
  </si>
  <si>
    <t>Enemies with a Summoner (10)</t>
  </si>
  <si>
    <t>Close friends with a Paladin (0)</t>
  </si>
  <si>
    <t>Armour – Medium CAT 1</t>
  </si>
  <si>
    <t>lore related to spesific creature 3</t>
  </si>
  <si>
    <t>The Hunter 2</t>
  </si>
  <si>
    <t>Weapon/Attack CAT A 2</t>
  </si>
  <si>
    <t>Weapon/Attack CAT B 1</t>
  </si>
  <si>
    <t>Templar (L), CC</t>
  </si>
  <si>
    <t>Armour, +10 NM (40)</t>
  </si>
  <si>
    <t>Shield, +10 NM (30)</t>
  </si>
  <si>
    <t>Promotion or award (30)</t>
  </si>
  <si>
    <t>Promotion or award (20)</t>
  </si>
  <si>
    <t>Armour – Medium CAT 2</t>
  </si>
  <si>
    <t>Armour – Heavy CAT 1</t>
  </si>
  <si>
    <t>Body Development 2</t>
  </si>
  <si>
    <t>Military Organisation 1</t>
  </si>
  <si>
    <t>Techical/Trade – Vocational CAT 0</t>
  </si>
  <si>
    <t>Tactics 1</t>
  </si>
  <si>
    <t>Theurgist (L), CC</t>
  </si>
  <si>
    <t>Daily I item (2nd level spell) (40)</t>
  </si>
  <si>
    <t>Weapon, +5 NM (30)</t>
  </si>
  <si>
    <t>Spell List – Own Realm Open list 0</t>
  </si>
  <si>
    <t>choice of Battlefield Healing or Holy Defenses 3</t>
  </si>
  <si>
    <t>First Aid 3</t>
  </si>
  <si>
    <t>Constitution, Intuition</t>
  </si>
  <si>
    <t>Witch (L), CC</t>
  </si>
  <si>
    <t>True Familiar (20)</t>
  </si>
  <si>
    <r>
      <t>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(50)d5 Potions, 3</t>
    </r>
    <r>
      <rPr>
        <vertAlign val="superscript"/>
        <sz val="7"/>
        <color indexed="8"/>
        <rFont val="Arial"/>
        <family val="2"/>
        <charset val="1"/>
      </rPr>
      <t>rd</t>
    </r>
    <r>
      <rPr>
        <sz val="7"/>
        <color indexed="8"/>
        <rFont val="Arial"/>
        <family val="2"/>
        <charset val="1"/>
      </rPr>
      <t xml:space="preserve"> level (50)</t>
    </r>
  </si>
  <si>
    <t>Book, +15 to Demon Lore (40)</t>
  </si>
  <si>
    <t>Book, +15 to one Lore – Magical skill (50)</t>
  </si>
  <si>
    <t>Favor from a lesser Demon (40)</t>
  </si>
  <si>
    <r>
      <t>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(40)Daily III Item (Candle, 3</t>
    </r>
    <r>
      <rPr>
        <vertAlign val="superscript"/>
        <sz val="7"/>
        <color indexed="8"/>
        <rFont val="Arial"/>
        <family val="2"/>
        <charset val="1"/>
      </rPr>
      <t>rd</t>
    </r>
    <r>
      <rPr>
        <sz val="7"/>
        <color indexed="8"/>
        <rFont val="Arial"/>
        <family val="2"/>
        <charset val="1"/>
      </rPr>
      <t xml:space="preserve"> level spell) (40)</t>
    </r>
  </si>
  <si>
    <t>Hunted by a Mythic (30)</t>
  </si>
  <si>
    <t>Covenant with Demon (yet to be fulfilled) (20)</t>
  </si>
  <si>
    <r>
      <t>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(20)Daily II Item (Candle, 3</t>
    </r>
    <r>
      <rPr>
        <vertAlign val="superscript"/>
        <sz val="7"/>
        <color indexed="8"/>
        <rFont val="Arial"/>
        <family val="2"/>
        <charset val="1"/>
      </rPr>
      <t>rd</t>
    </r>
    <r>
      <rPr>
        <sz val="7"/>
        <color indexed="8"/>
        <rFont val="Arial"/>
        <family val="2"/>
        <charset val="1"/>
      </rPr>
      <t xml:space="preserve"> level spell) (20)</t>
    </r>
  </si>
  <si>
    <r>
      <t>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(0)d5 Potions, 2</t>
    </r>
    <r>
      <rPr>
        <vertAlign val="superscript"/>
        <sz val="7"/>
        <color indexed="8"/>
        <rFont val="Arial"/>
        <family val="2"/>
        <charset val="1"/>
      </rPr>
      <t>nd</t>
    </r>
    <r>
      <rPr>
        <sz val="7"/>
        <color indexed="8"/>
        <rFont val="Arial"/>
        <family val="2"/>
        <charset val="1"/>
      </rPr>
      <t xml:space="preserve"> level (0)</t>
    </r>
  </si>
  <si>
    <t>Lore – Obscure CAT 4</t>
  </si>
  <si>
    <t>Demon/Devil Lore 3</t>
  </si>
  <si>
    <t>Artifact Lore 1</t>
  </si>
  <si>
    <t>Circle Lore 2</t>
  </si>
  <si>
    <t>Symbol Lore 1</t>
  </si>
  <si>
    <t>Warding Lore 1</t>
  </si>
  <si>
    <t>Magic Ritual 2</t>
  </si>
  <si>
    <t>Liquid/Gas Skills 2</t>
  </si>
  <si>
    <t>Nature Domination 3</t>
  </si>
  <si>
    <t>Beastmaster (L), MC</t>
  </si>
  <si>
    <t>Superior weather-resistant clothing (50)</t>
  </si>
  <si>
    <t>A loyal animal friend – a riding beast (60)</t>
  </si>
  <si>
    <t>Acquainted with other loners of the local wilderness (60)</t>
  </si>
  <si>
    <t>A loyal animal friend – a hunting animal (50)</t>
  </si>
  <si>
    <t>Cloak, +5 Hiding (40)</t>
  </si>
  <si>
    <t>Boots, +5 Stalking (40)</t>
  </si>
  <si>
    <t>A loyal animal friend – a flying creature (30)</t>
  </si>
  <si>
    <t>Close friends with a local wilderness loner (30)</t>
  </si>
  <si>
    <t>Outdoor – Animal CAT 4</t>
  </si>
  <si>
    <t>Animal Handling 2</t>
  </si>
  <si>
    <t>Animal Healing 2</t>
  </si>
  <si>
    <t>choice of Animal Training and/or Mastery 2 (total)</t>
  </si>
  <si>
    <t xml:space="preserve">Spells – Own Realm TP CAT 0 </t>
  </si>
  <si>
    <t>Animal Bonding spell list 3</t>
  </si>
  <si>
    <t>Subterfuge – Stealth CAT 1</t>
  </si>
  <si>
    <t>Charlatan (L), MC</t>
  </si>
  <si>
    <t>Desired reputation in the current town (40)</t>
  </si>
  <si>
    <t>Wanted for fraud and chicanery in another city (60)</t>
  </si>
  <si>
    <t>Fake ID, +30 Duping (40)</t>
  </si>
  <si>
    <t>Disguise kit +10NM (30)</t>
  </si>
  <si>
    <t>Fake ID, +15 Duping (40)</t>
  </si>
  <si>
    <t>A noble or influential patron in nearby city (20)</t>
  </si>
  <si>
    <t>Tools of the trade (0)</t>
  </si>
  <si>
    <t>Artistic – Active CAT 1</t>
  </si>
  <si>
    <t>Charades spell list 3</t>
  </si>
  <si>
    <t>Disguise 2</t>
  </si>
  <si>
    <t>Trickery 1</t>
  </si>
  <si>
    <t>Dream Traveller (L), MC</t>
  </si>
  <si>
    <t>Book, +20 to Dream World Lore (40)</t>
  </si>
  <si>
    <t>Secret Knowledge of the real world (30)</t>
  </si>
  <si>
    <t>Secret Knowledge of the real world's future (30)</t>
  </si>
  <si>
    <t>Familiar with a sanctuary in the Dream World (30)</t>
  </si>
  <si>
    <t>Friends with a dream world entity (20)</t>
  </si>
  <si>
    <t>Enemies with a dream world entity (20)</t>
  </si>
  <si>
    <t>Book, +10 to Dream World Lore (0)</t>
  </si>
  <si>
    <t>Awareness – Senses CAT 2</t>
  </si>
  <si>
    <t>Time Sense 2</t>
  </si>
  <si>
    <t>Dream Lore 2</t>
  </si>
  <si>
    <t>Dream World Lore 4</t>
  </si>
  <si>
    <t>Self Control CAT 2</t>
  </si>
  <si>
    <t>Sleep Trance 2</t>
  </si>
  <si>
    <t>Dream Travel spell list 3</t>
  </si>
  <si>
    <t>Dreamweaver (L), MC</t>
  </si>
  <si>
    <t>d10 stored daydream patterns (50)</t>
  </si>
  <si>
    <t>d10 stored normal dream patterns (50)</t>
  </si>
  <si>
    <t>d5 stored nightmare patterns (20)</t>
  </si>
  <si>
    <t>d10 stored dreamer patterns of family/associates (GM choice) (20)</t>
  </si>
  <si>
    <t>Book on dreams, +10 Dream Lore (0)</t>
  </si>
  <si>
    <t>Dream Lore 3</t>
  </si>
  <si>
    <t>Self Control CAT 3</t>
  </si>
  <si>
    <t>Meditation 3</t>
  </si>
  <si>
    <t>Sleep Trance 3</t>
  </si>
  <si>
    <t>Dream Law 2</t>
  </si>
  <si>
    <t>Hermit (L), MC</t>
  </si>
  <si>
    <t>Bound by a vow (40)</t>
  </si>
  <si>
    <t>One week's worth of preserved foodstuffs (50)</t>
  </si>
  <si>
    <t>2d10 sp (50)</t>
  </si>
  <si>
    <t>A fine gift from passerby, 10d10 sp (20)</t>
  </si>
  <si>
    <t>An animal companion (GM choice) (40)</t>
  </si>
  <si>
    <t>Respected/feared/avoided by local populace (GM discretion) (40)</t>
  </si>
  <si>
    <t>Respected by a notable in region (20)</t>
  </si>
  <si>
    <t>Nothing particulary special (GM choice) (0)</t>
  </si>
  <si>
    <t>Philosophy or Religion 2</t>
  </si>
  <si>
    <t>Foraging 2</t>
  </si>
  <si>
    <t>Survival 2</t>
  </si>
  <si>
    <t>Weather Watching 2</t>
  </si>
  <si>
    <t>Self Discipline, Constitution</t>
  </si>
  <si>
    <t>Houri (L), MC</t>
  </si>
  <si>
    <t>High-quality, fashionable clothing (50)</t>
  </si>
  <si>
    <t>Jewelry (gift worth 10d10 sp) (50)</t>
  </si>
  <si>
    <t>Gift from former lover (5d10 sp) (50)</t>
  </si>
  <si>
    <t>Contacts in high society (40)</t>
  </si>
  <si>
    <t>Friends with a person of importance (30)</t>
  </si>
  <si>
    <t>Jealous rival (equal or higher status) (30)</t>
  </si>
  <si>
    <t>Spurned ex-lover (now an enemy) (20)</t>
  </si>
  <si>
    <t>Special token from former lover (0)</t>
  </si>
  <si>
    <t>choice of up to 2 skills 2 (total)</t>
  </si>
  <si>
    <t>Seduction 3</t>
  </si>
  <si>
    <t>one other skill 1</t>
  </si>
  <si>
    <t>Houri's Beguilement 2</t>
  </si>
  <si>
    <t>Houri's Kisses 2</t>
  </si>
  <si>
    <t>Mariner (L), MC</t>
  </si>
  <si>
    <t>Navigational instruments, +10 Navigation (40)</t>
  </si>
  <si>
    <t>Spyglass, +10 sight-based distance Awareness (50)</t>
  </si>
  <si>
    <t>Detailed chart of local maritime region (60)</t>
  </si>
  <si>
    <t>Detailed chart of distant maritime region (50)</t>
  </si>
  <si>
    <t>Charts of the known seas (40)</t>
  </si>
  <si>
    <t>Close friends with another seafarer of equal rank (40)</t>
  </si>
  <si>
    <t>Close friends with another seafarer of higher rank (30)</t>
  </si>
  <si>
    <t>Navigational instruments, +20 Navigation (20)</t>
  </si>
  <si>
    <t>Spyglass, +20 sight-based distance Awareness (20)</t>
  </si>
  <si>
    <t>Navigational Instruments (0)</t>
  </si>
  <si>
    <t>choice of Swimming and/or Rowing 2 (total)</t>
  </si>
  <si>
    <t>Drafting 1</t>
  </si>
  <si>
    <t>Leadership 1</t>
  </si>
  <si>
    <t>choice of Star-gazing and Weather Watching 1</t>
  </si>
  <si>
    <t>Sailing Mastery 2</t>
  </si>
  <si>
    <t>Sea Mastery 2</t>
  </si>
  <si>
    <t>Techincal/Trade – General CAT 2</t>
  </si>
  <si>
    <t>Sailing 3</t>
  </si>
  <si>
    <t>Boat Pilot 1</t>
  </si>
  <si>
    <t>Cartography 1</t>
  </si>
  <si>
    <t>Navigation 1</t>
  </si>
  <si>
    <t>Oracle (L), MC</t>
  </si>
  <si>
    <t>Knowledge of unexplained portent/prophecy concerning a person or place (50)</t>
  </si>
  <si>
    <t>Book, +10 to Dream lore and Divination Lore (60)</t>
  </si>
  <si>
    <t>Divinatory Apparatus, +10 to Divination (40)</t>
  </si>
  <si>
    <t>Astrological almanacs covering five years (40)</t>
  </si>
  <si>
    <t>Knows a secret about a person of importance from beyond local region (30)</t>
  </si>
  <si>
    <t>Divinatory Apparatus, +20 to Divination (30)</t>
  </si>
  <si>
    <t>Astrological almanacs covering ten years (30)</t>
  </si>
  <si>
    <t>Access to library/collection of historical, divinatory or astrological records (20)</t>
  </si>
  <si>
    <t>Astrological almanacs covering one year (0)</t>
  </si>
  <si>
    <t>choice of Tale Telling or Poetic Improvisation 2</t>
  </si>
  <si>
    <t>choice of up to two history/cultural skills 3 (total)</t>
  </si>
  <si>
    <t>choice of Dream Lore or Divination Lore 2</t>
  </si>
  <si>
    <t>Divination 3</t>
  </si>
  <si>
    <t>Spell Lists – Own realm, Open CAT 0 (may developed as base list)</t>
  </si>
  <si>
    <t>choice of Future Visions or Stalore 2</t>
  </si>
  <si>
    <t>Physician (L), MC</t>
  </si>
  <si>
    <t>Superior medical kit, +20 First Aid (40)</t>
  </si>
  <si>
    <t>Book, +10 to Diagnostics or First Aid (50)</t>
  </si>
  <si>
    <t>Book, +10 to Second Aid or Surgery (40)</t>
  </si>
  <si>
    <t>Friends with person of importance in local region (30)</t>
  </si>
  <si>
    <t>Owned a favour by person of importance in local region (30)</t>
  </si>
  <si>
    <t>Medical supplies, 2d10 gp (20)</t>
  </si>
  <si>
    <t>Prepared medications (10)</t>
  </si>
  <si>
    <t>Vow (moral obligation to patients) (0)</t>
  </si>
  <si>
    <t>Poison Lore 1</t>
  </si>
  <si>
    <t>Anatomy 2</t>
  </si>
  <si>
    <t>Medical Law 2</t>
  </si>
  <si>
    <t>Physicks 2</t>
  </si>
  <si>
    <t>Techincal/Trade – General CAT 3</t>
  </si>
  <si>
    <t>Tecnical/Trade – Professional CAT 0</t>
  </si>
  <si>
    <t>Diagnostics 2</t>
  </si>
  <si>
    <t>Second Aid 2</t>
  </si>
  <si>
    <t>Surgery 2</t>
  </si>
  <si>
    <t>Hypnosis 1</t>
  </si>
  <si>
    <t>Protege (L), MC</t>
  </si>
  <si>
    <t>Friends with an ally of mentor (30)</t>
  </si>
  <si>
    <t>A powerful enemy/rival (30)</t>
  </si>
  <si>
    <t>Book, +10 to a spesific lore (50)</t>
  </si>
  <si>
    <r>
      <t>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(40)Potion, one dose, 5</t>
    </r>
    <r>
      <rPr>
        <vertAlign val="superscript"/>
        <sz val="7"/>
        <color indexed="8"/>
        <rFont val="Arial"/>
        <family val="2"/>
        <charset val="1"/>
      </rPr>
      <t>th</t>
    </r>
    <r>
      <rPr>
        <sz val="7"/>
        <color indexed="8"/>
        <rFont val="Arial"/>
        <family val="2"/>
        <charset val="1"/>
      </rPr>
      <t xml:space="preserve"> level spell (40)</t>
    </r>
  </si>
  <si>
    <r>
      <t>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(40)Daily I item (3</t>
    </r>
    <r>
      <rPr>
        <vertAlign val="superscript"/>
        <sz val="7"/>
        <color indexed="8"/>
        <rFont val="Arial"/>
        <family val="2"/>
        <charset val="1"/>
      </rPr>
      <t>rd</t>
    </r>
    <r>
      <rPr>
        <sz val="7"/>
        <color indexed="8"/>
        <rFont val="Arial"/>
        <family val="2"/>
        <charset val="1"/>
      </rPr>
      <t xml:space="preserve"> level spell) (40)</t>
    </r>
  </si>
  <si>
    <t>Secret knowledge (30)</t>
  </si>
  <si>
    <t>Lifelong obligation to mentor (0) (ALWAYS taken)</t>
  </si>
  <si>
    <t>Spell Mastery in one spell list 2</t>
  </si>
  <si>
    <t>choice of one other skill 2</t>
  </si>
  <si>
    <t>choice of 2 or 3 spell lists 6 (total)</t>
  </si>
  <si>
    <t>Realm stat</t>
  </si>
  <si>
    <t>Sage (L), MC</t>
  </si>
  <si>
    <t>Access to a library or other collection of manuscripts (70)</t>
  </si>
  <si>
    <t>Book, +10 to one lore (50)</t>
  </si>
  <si>
    <t>Friends with a library curator or archivist (50)</t>
  </si>
  <si>
    <t>Book, +10 to one General or Obscure Lore (40)</t>
  </si>
  <si>
    <t>Knowledge of an artifact (history, powers and/or location, GM choice) (40)</t>
  </si>
  <si>
    <t>Knowledge of a secret about the local region (GM descrition) (30)</t>
  </si>
  <si>
    <t>Consulted by one or more personages of importance in local region (20)</t>
  </si>
  <si>
    <t>Writing implements and a journal (0)</t>
  </si>
  <si>
    <t>choice of Scribing or Calligraphy 2</t>
  </si>
  <si>
    <t>Lore – Obscure CAT 2</t>
  </si>
  <si>
    <t>Delving (Open Ment.) 3</t>
  </si>
  <si>
    <t>Knowledge Mastery 3</t>
  </si>
  <si>
    <t>Advisor (L), CR</t>
  </si>
  <si>
    <t>Royal Contact (20)</t>
  </si>
  <si>
    <t>Royal Patron (30)</t>
  </si>
  <si>
    <t>Noble Contact (30)</t>
  </si>
  <si>
    <t>Noble Patron (50)</t>
  </si>
  <si>
    <t>Favour from Noble (30)</t>
  </si>
  <si>
    <t>Favour from an important person (30)</t>
  </si>
  <si>
    <t>Augmented heraldic sign (50)</t>
  </si>
  <si>
    <t>Finely crafted object, 5d10 sp (0)</t>
  </si>
  <si>
    <t>Choice of two Language Skills 2 (total)</t>
  </si>
  <si>
    <t>Signaling 1</t>
  </si>
  <si>
    <t>Culture Lore 1</t>
  </si>
  <si>
    <t>Administration 2</t>
  </si>
  <si>
    <t>Antagonist (L), CR</t>
  </si>
  <si>
    <t>Powerful enemy (of higher status/level) (30)</t>
  </si>
  <si>
    <t>Powerful rival (of higher status/level) (30)</t>
  </si>
  <si>
    <t>Fake ID, +20 Duping (25)</t>
  </si>
  <si>
    <t>Enemy (of equal or higher level) (15)</t>
  </si>
  <si>
    <t>Rival (of equal or higher level) (15)</t>
  </si>
  <si>
    <t>Finely crafted item, 5d10 sp (15)</t>
  </si>
  <si>
    <t>Favour from an important person (0)</t>
  </si>
  <si>
    <t>Mimicry 1</t>
  </si>
  <si>
    <t>Gambling 2</t>
  </si>
  <si>
    <t>Apotechary (V), CR</t>
  </si>
  <si>
    <t>Book +15 Poison Lore (50)</t>
  </si>
  <si>
    <t>Medical Kit, +5NM (40)</t>
  </si>
  <si>
    <t>d10 Concussion Herbs (30)</t>
  </si>
  <si>
    <t>d10 Circulatory Herbs (30)</t>
  </si>
  <si>
    <t>d10 Poison Herbs (30)</t>
  </si>
  <si>
    <t>d10 Intoxicants (30)</t>
  </si>
  <si>
    <t>d10 General Purpose herbs (0)</t>
  </si>
  <si>
    <t>Poison Lore 3</t>
  </si>
  <si>
    <t>Herb Lore 3</t>
  </si>
  <si>
    <t>Use Prepared Herbs 1</t>
  </si>
  <si>
    <t>Alchemy 1</t>
  </si>
  <si>
    <t>Use/Remove Poison 1</t>
  </si>
  <si>
    <t>Architect (V), CR</t>
  </si>
  <si>
    <t>Wealthy contact (50)</t>
  </si>
  <si>
    <t>Favour from an important person (40)</t>
  </si>
  <si>
    <t>Draft of an important structure (50)</t>
  </si>
  <si>
    <t>Close friends with work boss (0)</t>
  </si>
  <si>
    <t>Stone Lore 1</t>
  </si>
  <si>
    <t>Metal Lore 1</t>
  </si>
  <si>
    <t>Architecture 2</t>
  </si>
  <si>
    <t>choice of up to 2 skills from either Engineering and/or Labour Organisaion 2 (total)</t>
  </si>
  <si>
    <t>Archaeologist (V), CR</t>
  </si>
  <si>
    <t>Ancient map (30)</t>
  </si>
  <si>
    <t>Map of region, with historic notations (40)</t>
  </si>
  <si>
    <t>Book +10NM to spesific lore (50)</t>
  </si>
  <si>
    <t>Riding beast (0)</t>
  </si>
  <si>
    <t>Detect Traps 1</t>
  </si>
  <si>
    <t>choice of written languages 4 (total)</t>
  </si>
  <si>
    <t>choice of spoken languages 2 (total)</t>
  </si>
  <si>
    <t>choice of Culture Lores 2 (total)</t>
  </si>
  <si>
    <t>History 2</t>
  </si>
  <si>
    <t>Anthropology 1</t>
  </si>
  <si>
    <t>Appraisal 1</t>
  </si>
  <si>
    <t>Artificier (L), CR</t>
  </si>
  <si>
    <r>
      <t>Wand, up to 2</t>
    </r>
    <r>
      <rPr>
        <vertAlign val="superscript"/>
        <sz val="10"/>
        <color indexed="8"/>
        <rFont val="Arial"/>
        <family val="2"/>
        <charset val="1"/>
      </rPr>
      <t>nd</t>
    </r>
    <r>
      <rPr>
        <sz val="10"/>
        <color indexed="8"/>
        <rFont val="Arial"/>
        <family val="2"/>
        <charset val="1"/>
      </rPr>
      <t xml:space="preserve"> level spell (40)Wand, up to 2</t>
    </r>
    <r>
      <rPr>
        <vertAlign val="superscript"/>
        <sz val="10"/>
        <color indexed="8"/>
        <rFont val="Arial"/>
        <family val="2"/>
        <charset val="1"/>
      </rPr>
      <t>nd</t>
    </r>
    <r>
      <rPr>
        <sz val="10"/>
        <color indexed="8"/>
        <rFont val="Arial"/>
        <family val="2"/>
        <charset val="1"/>
      </rPr>
      <t xml:space="preserve"> level spell (40)Wand, up to 2</t>
    </r>
    <r>
      <rPr>
        <vertAlign val="superscript"/>
        <sz val="10"/>
        <color indexed="8"/>
        <rFont val="Arial"/>
        <family val="2"/>
        <charset val="1"/>
      </rPr>
      <t>nd</t>
    </r>
    <r>
      <rPr>
        <sz val="10"/>
        <color indexed="8"/>
        <rFont val="Arial"/>
        <family val="2"/>
        <charset val="1"/>
      </rPr>
      <t xml:space="preserve"> level spell (40)Wand, up to 2</t>
    </r>
    <r>
      <rPr>
        <vertAlign val="superscript"/>
        <sz val="10"/>
        <color indexed="8"/>
        <rFont val="Arial"/>
        <family val="2"/>
        <charset val="1"/>
      </rPr>
      <t>nd</t>
    </r>
    <r>
      <rPr>
        <sz val="10"/>
        <color indexed="8"/>
        <rFont val="Arial"/>
        <family val="2"/>
        <charset val="1"/>
      </rPr>
      <t xml:space="preserve"> level spell (40)Wand, up to 2</t>
    </r>
    <r>
      <rPr>
        <vertAlign val="superscript"/>
        <sz val="10"/>
        <color indexed="8"/>
        <rFont val="Arial"/>
        <family val="2"/>
        <charset val="1"/>
      </rPr>
      <t>nd</t>
    </r>
    <r>
      <rPr>
        <sz val="10"/>
        <color indexed="8"/>
        <rFont val="Arial"/>
        <family val="2"/>
        <charset val="1"/>
      </rPr>
      <t xml:space="preserve"> level spell (40)Wand, up to 2</t>
    </r>
    <r>
      <rPr>
        <vertAlign val="superscript"/>
        <sz val="10"/>
        <color indexed="8"/>
        <rFont val="Arial"/>
        <family val="2"/>
        <charset val="1"/>
      </rPr>
      <t>nd</t>
    </r>
    <r>
      <rPr>
        <sz val="10"/>
        <color indexed="8"/>
        <rFont val="Arial"/>
        <family val="2"/>
        <charset val="1"/>
      </rPr>
      <t xml:space="preserve"> level spell (40)Wand, up to 2</t>
    </r>
    <r>
      <rPr>
        <vertAlign val="superscript"/>
        <sz val="10"/>
        <color indexed="8"/>
        <rFont val="Arial"/>
        <family val="2"/>
        <charset val="1"/>
      </rPr>
      <t>nd</t>
    </r>
    <r>
      <rPr>
        <sz val="10"/>
        <color indexed="8"/>
        <rFont val="Arial"/>
        <family val="2"/>
        <charset val="1"/>
      </rPr>
      <t xml:space="preserve"> level spell (40)Wand, up to 2</t>
    </r>
    <r>
      <rPr>
        <vertAlign val="superscript"/>
        <sz val="10"/>
        <color indexed="8"/>
        <rFont val="Arial"/>
        <family val="2"/>
        <charset val="1"/>
      </rPr>
      <t>nd</t>
    </r>
    <r>
      <rPr>
        <sz val="10"/>
        <color indexed="8"/>
        <rFont val="Arial"/>
        <family val="2"/>
        <charset val="1"/>
      </rPr>
      <t xml:space="preserve"> level spell (40)Wand, up to 2</t>
    </r>
    <r>
      <rPr>
        <vertAlign val="superscript"/>
        <sz val="10"/>
        <color indexed="8"/>
        <rFont val="Arial"/>
        <family val="2"/>
        <charset val="1"/>
      </rPr>
      <t>nd</t>
    </r>
    <r>
      <rPr>
        <sz val="10"/>
        <color indexed="8"/>
        <rFont val="Arial"/>
        <family val="2"/>
        <charset val="1"/>
      </rPr>
      <t xml:space="preserve"> level spell (40)</t>
    </r>
  </si>
  <si>
    <r>
      <t>Daily III item (3</t>
    </r>
    <r>
      <rPr>
        <vertAlign val="superscript"/>
        <sz val="10"/>
        <color indexed="8"/>
        <rFont val="Arial"/>
        <family val="2"/>
        <charset val="1"/>
      </rPr>
      <t>rd</t>
    </r>
    <r>
      <rPr>
        <sz val="10"/>
        <color indexed="8"/>
        <rFont val="Arial"/>
        <family val="2"/>
        <charset val="1"/>
      </rPr>
      <t xml:space="preserve"> level spell) (30)Daily III item (3</t>
    </r>
    <r>
      <rPr>
        <vertAlign val="superscript"/>
        <sz val="10"/>
        <color indexed="8"/>
        <rFont val="Arial"/>
        <family val="2"/>
        <charset val="1"/>
      </rPr>
      <t>rd</t>
    </r>
    <r>
      <rPr>
        <sz val="10"/>
        <color indexed="8"/>
        <rFont val="Arial"/>
        <family val="2"/>
        <charset val="1"/>
      </rPr>
      <t xml:space="preserve"> level spell) (30)Daily III item (3</t>
    </r>
    <r>
      <rPr>
        <vertAlign val="superscript"/>
        <sz val="10"/>
        <color indexed="8"/>
        <rFont val="Arial"/>
        <family val="2"/>
        <charset val="1"/>
      </rPr>
      <t>rd</t>
    </r>
    <r>
      <rPr>
        <sz val="10"/>
        <color indexed="8"/>
        <rFont val="Arial"/>
        <family val="2"/>
        <charset val="1"/>
      </rPr>
      <t xml:space="preserve"> level spell) (30)Daily III item (3</t>
    </r>
    <r>
      <rPr>
        <vertAlign val="superscript"/>
        <sz val="10"/>
        <color indexed="8"/>
        <rFont val="Arial"/>
        <family val="2"/>
        <charset val="1"/>
      </rPr>
      <t>rd</t>
    </r>
    <r>
      <rPr>
        <sz val="10"/>
        <color indexed="8"/>
        <rFont val="Arial"/>
        <family val="2"/>
        <charset val="1"/>
      </rPr>
      <t xml:space="preserve"> level spell) (30)Daily III item (3</t>
    </r>
    <r>
      <rPr>
        <vertAlign val="superscript"/>
        <sz val="10"/>
        <color indexed="8"/>
        <rFont val="Arial"/>
        <family val="2"/>
        <charset val="1"/>
      </rPr>
      <t>rd</t>
    </r>
    <r>
      <rPr>
        <sz val="10"/>
        <color indexed="8"/>
        <rFont val="Arial"/>
        <family val="2"/>
        <charset val="1"/>
      </rPr>
      <t xml:space="preserve"> level spell) (30)Daily III item (3</t>
    </r>
    <r>
      <rPr>
        <vertAlign val="superscript"/>
        <sz val="10"/>
        <color indexed="8"/>
        <rFont val="Arial"/>
        <family val="2"/>
        <charset val="1"/>
      </rPr>
      <t>rd</t>
    </r>
    <r>
      <rPr>
        <sz val="10"/>
        <color indexed="8"/>
        <rFont val="Arial"/>
        <family val="2"/>
        <charset val="1"/>
      </rPr>
      <t xml:space="preserve"> level spell) (30)Daily III item (3</t>
    </r>
    <r>
      <rPr>
        <vertAlign val="superscript"/>
        <sz val="10"/>
        <color indexed="8"/>
        <rFont val="Arial"/>
        <family val="2"/>
        <charset val="1"/>
      </rPr>
      <t>rd</t>
    </r>
    <r>
      <rPr>
        <sz val="10"/>
        <color indexed="8"/>
        <rFont val="Arial"/>
        <family val="2"/>
        <charset val="1"/>
      </rPr>
      <t xml:space="preserve"> level spell) (30)Daily III item (3</t>
    </r>
    <r>
      <rPr>
        <vertAlign val="superscript"/>
        <sz val="10"/>
        <color indexed="8"/>
        <rFont val="Arial"/>
        <family val="2"/>
        <charset val="1"/>
      </rPr>
      <t>rd</t>
    </r>
    <r>
      <rPr>
        <sz val="10"/>
        <color indexed="8"/>
        <rFont val="Arial"/>
        <family val="2"/>
        <charset val="1"/>
      </rPr>
      <t xml:space="preserve"> level spell) (30)Daily III item (3</t>
    </r>
    <r>
      <rPr>
        <vertAlign val="superscript"/>
        <sz val="10"/>
        <color indexed="8"/>
        <rFont val="Arial"/>
        <family val="2"/>
        <charset val="1"/>
      </rPr>
      <t>rd</t>
    </r>
    <r>
      <rPr>
        <sz val="10"/>
        <color indexed="8"/>
        <rFont val="Arial"/>
        <family val="2"/>
        <charset val="1"/>
      </rPr>
      <t xml:space="preserve"> level spell) (30)</t>
    </r>
  </si>
  <si>
    <t>Book, +15 Item Lore (30)</t>
  </si>
  <si>
    <t>Daily II Item (2nd level spell) (40)</t>
  </si>
  <si>
    <r>
      <t>Single use item, up to 5</t>
    </r>
    <r>
      <rPr>
        <vertAlign val="superscript"/>
        <sz val="10"/>
        <color indexed="8"/>
        <rFont val="Arial"/>
        <family val="2"/>
        <charset val="1"/>
      </rPr>
      <t>th</t>
    </r>
    <r>
      <rPr>
        <sz val="10"/>
        <color indexed="8"/>
        <rFont val="Arial"/>
        <family val="2"/>
        <charset val="1"/>
      </rPr>
      <t xml:space="preserve"> level spell (15)Single use item, up to 5</t>
    </r>
    <r>
      <rPr>
        <vertAlign val="superscript"/>
        <sz val="10"/>
        <color indexed="8"/>
        <rFont val="Arial"/>
        <family val="2"/>
        <charset val="1"/>
      </rPr>
      <t>th</t>
    </r>
    <r>
      <rPr>
        <sz val="10"/>
        <color indexed="8"/>
        <rFont val="Arial"/>
        <family val="2"/>
        <charset val="1"/>
      </rPr>
      <t xml:space="preserve"> level spell (15)Single use item, up to 5</t>
    </r>
    <r>
      <rPr>
        <vertAlign val="superscript"/>
        <sz val="10"/>
        <color indexed="8"/>
        <rFont val="Arial"/>
        <family val="2"/>
        <charset val="1"/>
      </rPr>
      <t>th</t>
    </r>
    <r>
      <rPr>
        <sz val="10"/>
        <color indexed="8"/>
        <rFont val="Arial"/>
        <family val="2"/>
        <charset val="1"/>
      </rPr>
      <t xml:space="preserve"> level spell (15)Single use item, up to 5</t>
    </r>
    <r>
      <rPr>
        <vertAlign val="superscript"/>
        <sz val="10"/>
        <color indexed="8"/>
        <rFont val="Arial"/>
        <family val="2"/>
        <charset val="1"/>
      </rPr>
      <t>th</t>
    </r>
    <r>
      <rPr>
        <sz val="10"/>
        <color indexed="8"/>
        <rFont val="Arial"/>
        <family val="2"/>
        <charset val="1"/>
      </rPr>
      <t xml:space="preserve"> level spell (15)Single use item, up to 5</t>
    </r>
    <r>
      <rPr>
        <vertAlign val="superscript"/>
        <sz val="10"/>
        <color indexed="8"/>
        <rFont val="Arial"/>
        <family val="2"/>
        <charset val="1"/>
      </rPr>
      <t>th</t>
    </r>
    <r>
      <rPr>
        <sz val="10"/>
        <color indexed="8"/>
        <rFont val="Arial"/>
        <family val="2"/>
        <charset val="1"/>
      </rPr>
      <t xml:space="preserve"> level spell (15)Single use item, up to 5</t>
    </r>
    <r>
      <rPr>
        <vertAlign val="superscript"/>
        <sz val="10"/>
        <color indexed="8"/>
        <rFont val="Arial"/>
        <family val="2"/>
        <charset val="1"/>
      </rPr>
      <t>th</t>
    </r>
    <r>
      <rPr>
        <sz val="10"/>
        <color indexed="8"/>
        <rFont val="Arial"/>
        <family val="2"/>
        <charset val="1"/>
      </rPr>
      <t xml:space="preserve"> level spell (15)Single use item, up to 5</t>
    </r>
    <r>
      <rPr>
        <vertAlign val="superscript"/>
        <sz val="10"/>
        <color indexed="8"/>
        <rFont val="Arial"/>
        <family val="2"/>
        <charset val="1"/>
      </rPr>
      <t>th</t>
    </r>
    <r>
      <rPr>
        <sz val="10"/>
        <color indexed="8"/>
        <rFont val="Arial"/>
        <family val="2"/>
        <charset val="1"/>
      </rPr>
      <t xml:space="preserve"> level spell (15)Single use item, up to 5</t>
    </r>
    <r>
      <rPr>
        <vertAlign val="superscript"/>
        <sz val="10"/>
        <color indexed="8"/>
        <rFont val="Arial"/>
        <family val="2"/>
        <charset val="1"/>
      </rPr>
      <t>th</t>
    </r>
    <r>
      <rPr>
        <sz val="10"/>
        <color indexed="8"/>
        <rFont val="Arial"/>
        <family val="2"/>
        <charset val="1"/>
      </rPr>
      <t xml:space="preserve"> level spell (15)Single use item, up to 5</t>
    </r>
    <r>
      <rPr>
        <vertAlign val="superscript"/>
        <sz val="10"/>
        <color indexed="8"/>
        <rFont val="Arial"/>
        <family val="2"/>
        <charset val="1"/>
      </rPr>
      <t>th</t>
    </r>
    <r>
      <rPr>
        <sz val="10"/>
        <color indexed="8"/>
        <rFont val="Arial"/>
        <family val="2"/>
        <charset val="1"/>
      </rPr>
      <t xml:space="preserve"> level spell (15)</t>
    </r>
  </si>
  <si>
    <t>Daily I item (0)</t>
  </si>
  <si>
    <t>Artifact Lore 3</t>
  </si>
  <si>
    <t>Attunement 3</t>
  </si>
  <si>
    <t>Spells – Own Realm TP Cat 0</t>
  </si>
  <si>
    <t>Item Enhancements 3</t>
  </si>
  <si>
    <t>Techincal/Trade – Vocational 0</t>
  </si>
  <si>
    <t>Astronomer (L), CR</t>
  </si>
  <si>
    <t>Astrolabe, +15NM Astronomy/Navigation (50)</t>
  </si>
  <si>
    <t>Star chart, +10NM to Star-gazing (50)</t>
  </si>
  <si>
    <t>Lodestone, +50NM to Direction Sense (50)</t>
  </si>
  <si>
    <t>Spyglass, +10NM to Observation (30)</t>
  </si>
  <si>
    <t>Book, +10NM to Astronomy (40)</t>
  </si>
  <si>
    <t>Book, +10NM to Advanced Math (40)</t>
  </si>
  <si>
    <t>Book, +5NM to Star-gazing (40)</t>
  </si>
  <si>
    <t>Direction Sense 1</t>
  </si>
  <si>
    <t>Star-gazing 2</t>
  </si>
  <si>
    <t>Basic Math 2</t>
  </si>
  <si>
    <t>Advanced Math 1</t>
  </si>
  <si>
    <t>Astronomy 2</t>
  </si>
  <si>
    <t>Chaplain (V), CR</t>
  </si>
  <si>
    <t>Favour from Noble (50)</t>
  </si>
  <si>
    <t>Holy Symbol, +10 to Channeling (30)</t>
  </si>
  <si>
    <t>Augmented heraldic sign (20)</t>
  </si>
  <si>
    <t>Choice of Singing or Tale Telling 1</t>
  </si>
  <si>
    <t>Cloistered Zealot (L), CR</t>
  </si>
  <si>
    <t>Book, +15NM to a spesific lore (30)</t>
  </si>
  <si>
    <t>Book, +15NM to a spesific lore (20)</t>
  </si>
  <si>
    <t>Public Speaking or Seduction 2</t>
  </si>
  <si>
    <t>Court Magician (L), CR</t>
  </si>
  <si>
    <t>Noble Patron (30)</t>
  </si>
  <si>
    <t>Staff, +10M to Spell Mastery (30)</t>
  </si>
  <si>
    <t>Exceptionally well-made craft (gift, 10d10 sp) (20)</t>
  </si>
  <si>
    <t>Outlandish clothing and ornamentation (0)</t>
  </si>
  <si>
    <t>Artistic – Active CAT 4</t>
  </si>
  <si>
    <t>choice of up to 2 skills 4 (total)</t>
  </si>
  <si>
    <t>Power Manipulation CAT 2</t>
  </si>
  <si>
    <t>Spell Mastery 2</t>
  </si>
  <si>
    <t>Choice of Lesser Illusions or Illusions 3 (total)</t>
  </si>
  <si>
    <t>Duelist (V), CR</t>
  </si>
  <si>
    <t>Shield +10 NM (30)</t>
  </si>
  <si>
    <t>Quickdraw 2</t>
  </si>
  <si>
    <t>Swashbuckling 2</t>
  </si>
  <si>
    <t>Disarm Foe (Armed) 2</t>
  </si>
  <si>
    <t>Weapon skill CAT (melee) 2</t>
  </si>
  <si>
    <t>Engineer (L), CR</t>
  </si>
  <si>
    <t>Favour from a noble (30)</t>
  </si>
  <si>
    <t>Drafting Tools, +15NM to Engineering (25)</t>
  </si>
  <si>
    <t>Book, +15 to Architecture (20)</t>
  </si>
  <si>
    <t>Favour from a wealthy person (15)</t>
  </si>
  <si>
    <t>Wealthy contact (15)</t>
  </si>
  <si>
    <t>Heraldic sign (10)</t>
  </si>
  <si>
    <t>Draft of an important structure (0)</t>
  </si>
  <si>
    <t>Engineering 2</t>
  </si>
  <si>
    <t>Labor Organisation 2</t>
  </si>
  <si>
    <t>Structure Warding 3</t>
  </si>
  <si>
    <t>Perimeter Warding 3</t>
  </si>
  <si>
    <t>Executioner (V), CR</t>
  </si>
  <si>
    <t>Battle axe, +10NM (30)</t>
  </si>
  <si>
    <t>Two-handed sword, +10NM (30)</t>
  </si>
  <si>
    <t>Torturing tools, +10NM (30)</t>
  </si>
  <si>
    <t>Favour from a local ruler (0)</t>
  </si>
  <si>
    <t>Athletic – Brawn CAT 3</t>
  </si>
  <si>
    <t>Power-striking 3</t>
  </si>
  <si>
    <t>Rope Mastery 2</t>
  </si>
  <si>
    <t>Weapon – 2-Handed CAT 1</t>
  </si>
  <si>
    <t>Grave Robber (V), CR</t>
  </si>
  <si>
    <t>Stolen jewelry worth 10d10 sp (30)</t>
  </si>
  <si>
    <t>Stolen jewelry worth 8d10 sp (40)</t>
  </si>
  <si>
    <t>Map of region, with notes of ancient battles and tombs (50)</t>
  </si>
  <si>
    <t>Disarm Trap kit, +10NM (30)</t>
  </si>
  <si>
    <t>Reliable fencing contacts (40)</t>
  </si>
  <si>
    <t>Lockpick kit, +5NM (30)</t>
  </si>
  <si>
    <t>Disarm Trap kit, +5NM (0)</t>
  </si>
  <si>
    <t>Locate Hidden 2</t>
  </si>
  <si>
    <t>Detect Trap 2</t>
  </si>
  <si>
    <t>Mapping 1</t>
  </si>
  <si>
    <t>Groom (V), CR</t>
  </si>
  <si>
    <t>Horse, heavy, +5 Riding and Mounted Combat (20)</t>
  </si>
  <si>
    <t>Saddle, +10NM (30)</t>
  </si>
  <si>
    <t>Horse, medium (30)</t>
  </si>
  <si>
    <t>Falcon (20)</t>
  </si>
  <si>
    <t>Horse, light (0)</t>
  </si>
  <si>
    <t>Region Lore 2</t>
  </si>
  <si>
    <t>Animal Training 2</t>
  </si>
  <si>
    <t>Riding 2</t>
  </si>
  <si>
    <t>Inventor (V), CR</t>
  </si>
  <si>
    <t>Mechanical Item, +10NM (50)</t>
  </si>
  <si>
    <t>Mechanical Item, +5NM (50)</t>
  </si>
  <si>
    <t>Draft for a new invention (40)</t>
  </si>
  <si>
    <t>Patron (20)</t>
  </si>
  <si>
    <t>Fine crafting tools, +15NM to spesific craft (40)</t>
  </si>
  <si>
    <t>Fine crafting tools, +10NM to spesific craft (30)</t>
  </si>
  <si>
    <t>Fine crafting tools, +5NM to spesific craft (0)</t>
  </si>
  <si>
    <t>Gimmicky 2</t>
  </si>
  <si>
    <t>Jester (V), CR</t>
  </si>
  <si>
    <t>Noble contact (30)</t>
  </si>
  <si>
    <t>Musical instrument, +10NM (30)</t>
  </si>
  <si>
    <t>Juggling balls, +10NM (30)</t>
  </si>
  <si>
    <t>Stilts, +10NM (30)</t>
  </si>
  <si>
    <t>Fine clothing, outrageous in design (0)</t>
  </si>
  <si>
    <t>Acting 2</t>
  </si>
  <si>
    <t>Juggling 2</t>
  </si>
  <si>
    <t>Stilt-walking 2</t>
  </si>
  <si>
    <t>Tumbling 2</t>
  </si>
  <si>
    <t>Duping 3</t>
  </si>
  <si>
    <t>Tools, +5NM to crafts skill (30)</t>
  </si>
  <si>
    <t>Tools, appropriate to a crafts skill (50)</t>
  </si>
  <si>
    <t>Friends with local bartender (40)</t>
  </si>
  <si>
    <t>Owed a favor from local noble (20)</t>
  </si>
  <si>
    <t>Enemies with local noble (20)</t>
  </si>
  <si>
    <t>Part of work gang, 3d10 workers (0)</t>
  </si>
  <si>
    <t>Athletic – Brawn CAT 2</t>
  </si>
  <si>
    <t>Magic Crafter (L), CR</t>
  </si>
  <si>
    <t>Daily I item (level 1 spell) (30)</t>
  </si>
  <si>
    <t>Good crafting tools, +10NM to spesific craft (50)</t>
  </si>
  <si>
    <t>Crafting tools, +5NM to spesific craft (0)</t>
  </si>
  <si>
    <t>Spells – Own Realm, Open List CAT 0</t>
  </si>
  <si>
    <t>choice of training package list 3</t>
  </si>
  <si>
    <t>Political (L), CR</t>
  </si>
  <si>
    <t>Know a secret about local noble (40)</t>
  </si>
  <si>
    <t>Assassin contacts (20)</t>
  </si>
  <si>
    <t>Favor from a noble (15)</t>
  </si>
  <si>
    <t>Know a secret about local lord (15)</t>
  </si>
  <si>
    <t>Rival (equal or higher level) (0)</t>
  </si>
  <si>
    <t>choice of up to 3 skills 4 (total)</t>
  </si>
  <si>
    <t>Interrogation 2</t>
  </si>
  <si>
    <t>Subterfuge – Stealt CAT 2</t>
  </si>
  <si>
    <t>choice of Stalking or Hiding 2 (total)</t>
  </si>
  <si>
    <t>Prophet (L), CR</t>
  </si>
  <si>
    <t>Animal friend appropriate to deity (40)</t>
  </si>
  <si>
    <t>Relic of the faith, +20 Influence skills, believers of the religion only (30)</t>
  </si>
  <si>
    <t>Low level clergy contacts (30)</t>
  </si>
  <si>
    <t>Religions rival (higher level) (20)</t>
  </si>
  <si>
    <t>Significant mark (odd colouration of eyes, or hair, birth mark etc) (10)</t>
  </si>
  <si>
    <t>Holy symbol, +5NM to influence to believers (0)</t>
  </si>
  <si>
    <t>Reality Awareness 1</t>
  </si>
  <si>
    <t>Spells – Own Real, TP CAT 0</t>
  </si>
  <si>
    <t>Detection Mastery (Open Channeling) 3</t>
  </si>
  <si>
    <t>Romantic (L), CR</t>
  </si>
  <si>
    <t>Exceptional quality clothing (50)</t>
  </si>
  <si>
    <t>Rival (equal or higher level) (30)</t>
  </si>
  <si>
    <t>Hunted by jilted lover (30)</t>
  </si>
  <si>
    <t>Special token from lost/past love (0)</t>
  </si>
  <si>
    <t>choice of up to three skills 4 (total)</t>
  </si>
  <si>
    <t>Urban skill CAT 2</t>
  </si>
  <si>
    <t>Contacting 2</t>
  </si>
  <si>
    <t>Servitor (V), CR</t>
  </si>
  <si>
    <t>Exceptional set of clothes (40)</t>
  </si>
  <si>
    <t>Knows a secret about a noble (20)</t>
  </si>
  <si>
    <t>Noble contact (0)</t>
  </si>
  <si>
    <t>Service 1</t>
  </si>
  <si>
    <t>Siege Engineer (V), CR</t>
  </si>
  <si>
    <t>Book, +10NM to Siege Engineering (50)</t>
  </si>
  <si>
    <t>Book, +10NM to Mechanition (40)</t>
  </si>
  <si>
    <t>Draft of superior siege engine</t>
  </si>
  <si>
    <t>Mercenary contacts (20)</t>
  </si>
  <si>
    <t>Tool kit, +10NM (0)</t>
  </si>
  <si>
    <t>Mechanition 1</t>
  </si>
  <si>
    <t>Mining 1</t>
  </si>
  <si>
    <t>Siege Engineering 3</t>
  </si>
  <si>
    <t>Weapon – Missile Artillery CAT 2</t>
  </si>
  <si>
    <t>Troubadour (L), CR</t>
  </si>
  <si>
    <t>Musical Instrument, +10NM (50)</t>
  </si>
  <si>
    <t>Weather-resistant clothing (50)</t>
  </si>
  <si>
    <t>Noble Contact (40)</t>
  </si>
  <si>
    <t>Riding Beast (0)</t>
  </si>
  <si>
    <t>Play Instrument 2</t>
  </si>
  <si>
    <t>Weather Watching 1</t>
  </si>
  <si>
    <t>Vizier (V), CR</t>
  </si>
  <si>
    <t>Royal Patron (20)</t>
  </si>
  <si>
    <t>Favour from royalty (30)</t>
  </si>
  <si>
    <t>Delving 3</t>
  </si>
  <si>
    <t>Athlete (V), FRP</t>
  </si>
  <si>
    <t>Equipment used in athletic specialty, +10NM (50)</t>
  </si>
  <si>
    <t>Sporting event victory medal, 2d10 sp (30)</t>
  </si>
  <si>
    <t>Competitive rival (50)</t>
  </si>
  <si>
    <t>d10 Loyal fans (20)</t>
  </si>
  <si>
    <t>Wealthy sponsor (20)</t>
  </si>
  <si>
    <t>Invitation to prestigious sporting event (0)</t>
  </si>
  <si>
    <t>Athletic – Gymnastics CAT 2</t>
  </si>
  <si>
    <t>Athletic Games from any Ath skill CAT 2</t>
  </si>
  <si>
    <t>choice of 1 skill from any Athletic CAT 2</t>
  </si>
  <si>
    <t>Cavalier (V), FRP</t>
  </si>
  <si>
    <t>Shield +5 NM (20)</t>
  </si>
  <si>
    <t>Affection of a married lady (30)</t>
  </si>
  <si>
    <t>Fine horse, +10 riding (0)</t>
  </si>
  <si>
    <t>Artistic skill CAT (choice) 1</t>
  </si>
  <si>
    <t>Seduction 1</t>
  </si>
  <si>
    <t>Jousting 1</t>
  </si>
  <si>
    <t>Weapon – Melee CAT 1</t>
  </si>
  <si>
    <t>Chamberlain (L), FRP</t>
  </si>
  <si>
    <t>Minor item related to office (10)</t>
  </si>
  <si>
    <t>Favor from royalty (30)</t>
  </si>
  <si>
    <t>Knowledge of a political secret or intrigue (50)</t>
  </si>
  <si>
    <t>Seal of office (0)</t>
  </si>
  <si>
    <t>First Aid or Operating Equipment 1</t>
  </si>
  <si>
    <t>Contancting 1</t>
  </si>
  <si>
    <t>Scrounging 1</t>
  </si>
  <si>
    <t>Escort (V), FRP</t>
  </si>
  <si>
    <t>Exceptional set of clothes (50)</t>
  </si>
  <si>
    <t>Favor from royalty (20)</t>
  </si>
  <si>
    <t>Contact in the underworld (40)</t>
  </si>
  <si>
    <t>Embarassing secret of a local noble (30)</t>
  </si>
  <si>
    <t>Instrument used w/artistic skill, +5NM (0)</t>
  </si>
  <si>
    <t>Duping 1</t>
  </si>
  <si>
    <t>Massage 2</t>
  </si>
  <si>
    <t>Farmer (L), FRP</t>
  </si>
  <si>
    <t>Superior Farm impl. (+5 pitch fork, NM) (20)</t>
  </si>
  <si>
    <t>d10 chickens (50)</t>
  </si>
  <si>
    <t>Cow (+5 herding) (50)</t>
  </si>
  <si>
    <t>Simple map of local area (50)</t>
  </si>
  <si>
    <t>Body Decelopment 2</t>
  </si>
  <si>
    <t>Fauna Lore 1</t>
  </si>
  <si>
    <t>Animal Herding 2</t>
  </si>
  <si>
    <t>Gladiator (L), FRP</t>
  </si>
  <si>
    <t>Trophy, worth 2d10 sp (10)</t>
  </si>
  <si>
    <t>Shield +10 NM (0)</t>
  </si>
  <si>
    <t>Weapon skill CAT #1 1</t>
  </si>
  <si>
    <t>Weapon skill CAT #3 1</t>
  </si>
  <si>
    <t>Martial Arts – Striking CAT 1</t>
  </si>
  <si>
    <t>Boxing 1</t>
  </si>
  <si>
    <t>Martial Arts – Sweeps CAT 1</t>
  </si>
  <si>
    <t>Wrestling 1</t>
  </si>
  <si>
    <t>Athletic – Gymnastics CAT 1</t>
  </si>
  <si>
    <t>Tumbling 1</t>
  </si>
  <si>
    <t>Sprinting 1</t>
  </si>
  <si>
    <t>Constitution, Strength</t>
  </si>
  <si>
    <t>Gossip (V), FRP</t>
  </si>
  <si>
    <t>Useful contacts with local innkeeper (30)</t>
  </si>
  <si>
    <t>Incriminating secret about someone else (50)</t>
  </si>
  <si>
    <t>Incriminating secret about someone else (30)</t>
  </si>
  <si>
    <t>Valuable secret about someone else (30)</t>
  </si>
  <si>
    <t>Reputation as a gossip (40)</t>
  </si>
  <si>
    <t>Large bar tab at local tavern (0)</t>
  </si>
  <si>
    <t>Tale Telling 2</t>
  </si>
  <si>
    <t>Sit. Aw. – Eavesdropping 1</t>
  </si>
  <si>
    <t>Lip Reading 1</t>
  </si>
  <si>
    <t>Guide (V), FRP</t>
  </si>
  <si>
    <t>Riding Beast (GM disc) (40)</t>
  </si>
  <si>
    <t>Compass, +10 Navigation &amp; Orienteering (30)</t>
  </si>
  <si>
    <t>Reinforced rope, 50ft (20)</t>
  </si>
  <si>
    <t>Detailed map of the region (0)</t>
  </si>
  <si>
    <r>
      <t xml:space="preserve">Lore </t>
    </r>
    <r>
      <rPr>
        <b/>
        <sz val="7"/>
        <color indexed="8"/>
        <rFont val="Arial"/>
        <family val="2"/>
        <charset val="1"/>
      </rPr>
      <t>–</t>
    </r>
    <r>
      <rPr>
        <sz val="7"/>
        <color indexed="8"/>
        <rFont val="Arial"/>
        <family val="2"/>
        <charset val="1"/>
      </rPr>
      <t xml:space="preserve"> General CAT 3</t>
    </r>
  </si>
  <si>
    <t>Region Lore (local) 2</t>
  </si>
  <si>
    <t>Animal Handling 1</t>
  </si>
  <si>
    <t>Guild Member (V), FRP</t>
  </si>
  <si>
    <t>Tools, +10NM to crafts skill (50)</t>
  </si>
  <si>
    <t>Useful contacts with local tradesmen (50)</t>
  </si>
  <si>
    <t>Reputation as an honest and skilled craftsman (20)</t>
  </si>
  <si>
    <t>Work of primary trade/craft, worth 1d10 sp (30)</t>
  </si>
  <si>
    <t>Rival within the guild (30)</t>
  </si>
  <si>
    <t>Mission for guild master (0)</t>
  </si>
  <si>
    <t>Trading 1</t>
  </si>
  <si>
    <t>Trading Lore 1</t>
  </si>
  <si>
    <t>Henchman (V), FRP</t>
  </si>
  <si>
    <t>Favor from an important person (50)</t>
  </si>
  <si>
    <t>Favor from former employer (50)</t>
  </si>
  <si>
    <t>Good reputation among peers (50)</t>
  </si>
  <si>
    <t>Secret about current employer (50)</t>
  </si>
  <si>
    <t>Tools for primary job, +5NM (0)</t>
  </si>
  <si>
    <t>choice of up to two skills 2</t>
  </si>
  <si>
    <t>Sit. Aw. – Employer's Attention 1</t>
  </si>
  <si>
    <t>Service 2</t>
  </si>
  <si>
    <t>choice of one skill (Cooking, Sewing etc) 2</t>
  </si>
  <si>
    <t>Innkeeper (V), FRP</t>
  </si>
  <si>
    <t>Close friends with a merchant (50)</t>
  </si>
  <si>
    <t>Reputation as a good innkeeper (60)</t>
  </si>
  <si>
    <t>Useful city contacts (30)</t>
  </si>
  <si>
    <t>d10 Loyal customers (50)</t>
  </si>
  <si>
    <t>Large debt to moneylender or noble (40)</t>
  </si>
  <si>
    <t>Useful legends and adventure hooks (0)</t>
  </si>
  <si>
    <t>choice of Cooking or Brewing 1</t>
  </si>
  <si>
    <t>Librarian (V), FRP</t>
  </si>
  <si>
    <t>Book, +10NM to a spesific lore skill (50)</t>
  </si>
  <si>
    <t>Spectacles, +10NM Sense Awareness – Sight (40)</t>
  </si>
  <si>
    <t>Fine writing pen, +5NM Scribing (20)</t>
  </si>
  <si>
    <t>Favor from high ranking Magician (30)</t>
  </si>
  <si>
    <t>Book, +5NM to a spesific lore CAT (0)</t>
  </si>
  <si>
    <t>Science/Analytic – Basic CAT 3</t>
  </si>
  <si>
    <t>Lore – Techincal CAT 1</t>
  </si>
  <si>
    <t>Drowsing 1</t>
  </si>
  <si>
    <t>Mother (V), FRP</t>
  </si>
  <si>
    <t>Child (50)</t>
  </si>
  <si>
    <t>Child (30)</t>
  </si>
  <si>
    <t>Destined child (10)</t>
  </si>
  <si>
    <t>First aid kit, +10NM (20)</t>
  </si>
  <si>
    <t>Backpack/harness for carrying child (50)</t>
  </si>
  <si>
    <t>Favor from another mother in community (40)</t>
  </si>
  <si>
    <t>Child (0)</t>
  </si>
  <si>
    <t>Interrogation 1</t>
  </si>
  <si>
    <t>Sit. Aw. – Potential Threat (to Child) 2</t>
  </si>
  <si>
    <t>Cooking 1</t>
  </si>
  <si>
    <t>Noble (L), FRP</t>
  </si>
  <si>
    <t>Royal patron (30)</t>
  </si>
  <si>
    <t>Family jewes, worth d100sp (30)</t>
  </si>
  <si>
    <t>d5 Rival Siblings (40)</t>
  </si>
  <si>
    <t>Evil relative determined to destroy you (20)</t>
  </si>
  <si>
    <t>Poison Perception 1</t>
  </si>
  <si>
    <t>Riding (horse) 1</t>
  </si>
  <si>
    <t>Panhandler (V), FRP</t>
  </si>
  <si>
    <t>Useful underworld contacts (30)</t>
  </si>
  <si>
    <t>Tattered rags, +5NM Begging (40)</t>
  </si>
  <si>
    <t>Random bubonic disease (20)</t>
  </si>
  <si>
    <t>Make-up kit, +10NM Disguise (20)</t>
  </si>
  <si>
    <t>Small palm knife, +10NM pick pockets (30)</t>
  </si>
  <si>
    <t>Tin begging cup (0)</t>
  </si>
  <si>
    <t>Disguise 1</t>
  </si>
  <si>
    <t>Begging 2</t>
  </si>
  <si>
    <t>Mingling 1</t>
  </si>
  <si>
    <t>Culture Lore (own) 1</t>
  </si>
  <si>
    <t>Region Lore (local town) 1</t>
  </si>
  <si>
    <t>Pirate (L), FRP</t>
  </si>
  <si>
    <t>Stolen jewelry worth 5d10 sp (20)</t>
  </si>
  <si>
    <t>Peg leg, +5 Tale Telling (30)</t>
  </si>
  <si>
    <t>Parrot (60)</t>
  </si>
  <si>
    <t>Eye Patch, +5NM Interrogation (30)</t>
  </si>
  <si>
    <t>Treasure Map (0)</t>
  </si>
  <si>
    <t>Sailing 2</t>
  </si>
  <si>
    <t>Survival (Sea) 2</t>
  </si>
  <si>
    <t>Scribe (V), FRP</t>
  </si>
  <si>
    <t>Set of pens and inkwell, +10NM (30)</t>
  </si>
  <si>
    <t>Contacts in local church (30)</t>
  </si>
  <si>
    <t>Contacts among the nobility (40)</t>
  </si>
  <si>
    <t>Esoteric arcane knowledge (GM disc) (10)</t>
  </si>
  <si>
    <t>Set of pens and inkwell, +5NM (0)</t>
  </si>
  <si>
    <t>choice of Painting or Poetry 1</t>
  </si>
  <si>
    <t>Mnemonics 2</t>
  </si>
  <si>
    <t>Calligraphy 2</t>
  </si>
  <si>
    <t>Scribing 2</t>
  </si>
  <si>
    <t>Communications skill CAT 2</t>
  </si>
  <si>
    <t>choice of one written language 5</t>
  </si>
  <si>
    <t>Veterinarian (V), FRP</t>
  </si>
  <si>
    <t>Animal companion (50)</t>
  </si>
  <si>
    <t>Favor of local farmer (30)</t>
  </si>
  <si>
    <t>Enmity of local farmer (30)</t>
  </si>
  <si>
    <t>Medical kit, +5NM (0)</t>
  </si>
  <si>
    <t>Animal Healing 3</t>
  </si>
  <si>
    <t>Dragon Slayer (L)</t>
  </si>
  <si>
    <t>Special token/sigl (0)</t>
  </si>
  <si>
    <t>Lore - General CAT 0</t>
  </si>
  <si>
    <t>History: Dragon Slayers 2</t>
  </si>
  <si>
    <t>Lore – Obscure CAT 0</t>
  </si>
  <si>
    <t>Dragon Lore 3</t>
  </si>
  <si>
    <t>Survival: mountains 1</t>
  </si>
  <si>
    <t>Slayer Techniques – Shouts: Dragons 1</t>
  </si>
  <si>
    <t>Slayer Techniques – Strikes: Dragons 1</t>
  </si>
  <si>
    <t>Book +15 Herb Lore (50)</t>
  </si>
  <si>
    <t>Teacher who can provide access to either Physics (Mentalism) or Brewing (Essence) (20)</t>
  </si>
  <si>
    <t>Using/Removing Poison 1</t>
  </si>
  <si>
    <t>Apotechary 4</t>
  </si>
  <si>
    <t>Special religiuos token/sigil (0)</t>
  </si>
  <si>
    <t>Lore - General CAT 4</t>
  </si>
  <si>
    <t>spesific lore related to the cause 1</t>
  </si>
  <si>
    <t>Native language 2</t>
  </si>
  <si>
    <t>Priest of Animas</t>
  </si>
  <si>
    <t>8/8/8*</t>
  </si>
  <si>
    <t>6/6/6*</t>
  </si>
  <si>
    <t>Spells: Other Realm Training Pacate</t>
  </si>
  <si>
    <t>16/16</t>
  </si>
  <si>
    <t>12/12*</t>
  </si>
  <si>
    <t>8/8</t>
  </si>
  <si>
    <t>16/16*</t>
  </si>
  <si>
    <t>Spells: Arcane Own Base</t>
  </si>
  <si>
    <t>N/A*</t>
  </si>
  <si>
    <t>65*</t>
  </si>
  <si>
    <t>75*</t>
  </si>
  <si>
    <t>22*</t>
  </si>
  <si>
    <t>6/6*</t>
  </si>
  <si>
    <t>5/5*</t>
  </si>
  <si>
    <t>11/11</t>
  </si>
  <si>
    <t>55*</t>
  </si>
  <si>
    <t>50</t>
  </si>
  <si>
    <t>Shouts</t>
  </si>
  <si>
    <t>2/3/5/6/9</t>
  </si>
  <si>
    <t>2/3/4/6/9</t>
  </si>
  <si>
    <t>2/2/4/5/6</t>
  </si>
  <si>
    <t>1/2/2/3/5</t>
  </si>
  <si>
    <t>1/1/2/3/4</t>
  </si>
  <si>
    <t>2/3/6/6/9</t>
  </si>
  <si>
    <t>2/2/4/4/6</t>
  </si>
  <si>
    <t>1/1/2/2/3</t>
  </si>
  <si>
    <t>1/2/2/3/4</t>
  </si>
  <si>
    <t>2/4/5/8/12</t>
  </si>
  <si>
    <t>Strikes</t>
  </si>
  <si>
    <t>Singing 1</t>
  </si>
  <si>
    <t>Singing 2</t>
  </si>
  <si>
    <t>magic language 1</t>
  </si>
  <si>
    <t>magic language 2</t>
  </si>
  <si>
    <t>magic language 3</t>
  </si>
  <si>
    <t>BMI</t>
  </si>
  <si>
    <t>Build</t>
  </si>
  <si>
    <t>Common Man</t>
  </si>
  <si>
    <t>Uruk</t>
  </si>
  <si>
    <t>Half-Troll</t>
  </si>
  <si>
    <t>Half-Orc</t>
  </si>
  <si>
    <t>V. Severe UW</t>
  </si>
  <si>
    <t>Severe UW</t>
  </si>
  <si>
    <t>Underweight</t>
  </si>
  <si>
    <t>Overweight</t>
  </si>
  <si>
    <t>Obese</t>
  </si>
  <si>
    <t>Severely Obese</t>
  </si>
  <si>
    <t>pituus</t>
  </si>
  <si>
    <t>paino</t>
  </si>
  <si>
    <t>kg/cm</t>
  </si>
  <si>
    <t>feet</t>
  </si>
  <si>
    <t>inch</t>
  </si>
  <si>
    <t>lbs</t>
  </si>
  <si>
    <t>Painomuutos</t>
  </si>
  <si>
    <t>Peruspaino</t>
  </si>
  <si>
    <t>Painomuutos heitosta</t>
  </si>
  <si>
    <t>Painomuutos yht</t>
  </si>
  <si>
    <t>Paino yht</t>
  </si>
  <si>
    <t>orc</t>
  </si>
  <si>
    <t>race</t>
  </si>
  <si>
    <t>Base</t>
  </si>
  <si>
    <t>culture</t>
  </si>
  <si>
    <t>type</t>
  </si>
  <si>
    <t>Change</t>
  </si>
  <si>
    <t>jalat</t>
  </si>
  <si>
    <t>tuumat</t>
  </si>
  <si>
    <t>pituus cm</t>
  </si>
  <si>
    <t>kg/m</t>
  </si>
  <si>
    <t>+ tuuma</t>
  </si>
  <si>
    <t>painomuutos</t>
  </si>
  <si>
    <t>Talent</t>
  </si>
  <si>
    <t>Description</t>
  </si>
  <si>
    <t>Type</t>
  </si>
  <si>
    <t>Flaw</t>
  </si>
  <si>
    <t>Special Training (NO LIMIT)</t>
  </si>
  <si>
    <t>Physical</t>
  </si>
  <si>
    <t>Acrobat</t>
  </si>
  <si>
    <t>+20 Athletic - Gymnastic</t>
  </si>
  <si>
    <t>Training, no limit</t>
  </si>
  <si>
    <t>Age</t>
  </si>
  <si>
    <t>Arcane Discovery</t>
  </si>
  <si>
    <t>Albino</t>
  </si>
  <si>
    <t>Adrenal Defense Training (minor)</t>
  </si>
  <si>
    <t>AD action is 30%</t>
  </si>
  <si>
    <t>Animal Bane</t>
  </si>
  <si>
    <t>Adrenal Defense Training (greater)</t>
  </si>
  <si>
    <t>AD action is 10%</t>
  </si>
  <si>
    <t>Anosmia</t>
  </si>
  <si>
    <t>Animal Handler</t>
  </si>
  <si>
    <t xml:space="preserve">+20 Fauna Lore and Outdoor Animals CAT. </t>
  </si>
  <si>
    <t>Blind</t>
  </si>
  <si>
    <t>+10 Artistic Group. One E-skill</t>
  </si>
  <si>
    <t>Breaker</t>
  </si>
  <si>
    <t>Assassin Training</t>
  </si>
  <si>
    <t>As in Talent Law; skill cost halved</t>
  </si>
  <si>
    <t>Cold Sensitive</t>
  </si>
  <si>
    <t>Athletic (Master</t>
  </si>
  <si>
    <t>+20 Athletic Group, 3 E-skills</t>
  </si>
  <si>
    <t>Colour Blind</t>
  </si>
  <si>
    <t>Athletic (Spesialised)</t>
  </si>
  <si>
    <t>+10 to one Athletic CAT, one E-skill</t>
  </si>
  <si>
    <t>Common Allergy (minor)</t>
  </si>
  <si>
    <t>Deadly Training</t>
  </si>
  <si>
    <t>Common Allergy (major)</t>
  </si>
  <si>
    <t>Directed Weapons Master (Minor)</t>
  </si>
  <si>
    <t>One E-skill</t>
  </si>
  <si>
    <t>Complete Kluz</t>
  </si>
  <si>
    <t>Directed Weapons Master (Major)</t>
  </si>
  <si>
    <t>Crippled (minor)</t>
  </si>
  <si>
    <t>Disarm Skill</t>
  </si>
  <si>
    <t>+20 to Disarm Foe -skill</t>
  </si>
  <si>
    <t>Crippled (major)</t>
  </si>
  <si>
    <t>Elvish Training</t>
  </si>
  <si>
    <t>Crippled (greater)</t>
  </si>
  <si>
    <t>Exceptional Skill at Arms</t>
  </si>
  <si>
    <t>Deaf</t>
  </si>
  <si>
    <t>Fluent</t>
  </si>
  <si>
    <t>Deep Sleeper</t>
  </si>
  <si>
    <t>General Weapons Master (minor)</t>
  </si>
  <si>
    <t>+10 bonus</t>
  </si>
  <si>
    <t>Epileptic</t>
  </si>
  <si>
    <t>General Weapons Master (major)</t>
  </si>
  <si>
    <t>+20 bonus</t>
  </si>
  <si>
    <t>Eunuch</t>
  </si>
  <si>
    <t>+30 bonus</t>
  </si>
  <si>
    <t>Fragile Wrists</t>
  </si>
  <si>
    <t>Geographic Awareness</t>
  </si>
  <si>
    <t>Hard of Hearing</t>
  </si>
  <si>
    <t>Gymnastic Training</t>
  </si>
  <si>
    <t>Heat Sensitive</t>
  </si>
  <si>
    <t>Herbalist</t>
  </si>
  <si>
    <t>+20 bonus to skills</t>
  </si>
  <si>
    <t>Hemophilia</t>
  </si>
  <si>
    <t>Inner Reserve (lesser)</t>
  </si>
  <si>
    <t>+1 bonus</t>
  </si>
  <si>
    <t>Inner Ear Problem</t>
  </si>
  <si>
    <t>Inner Reserve (minor)</t>
  </si>
  <si>
    <t>+2 bonus</t>
  </si>
  <si>
    <t>Lack of Range</t>
  </si>
  <si>
    <t>Inner Reserve (major)</t>
  </si>
  <si>
    <t>+4 bonus</t>
  </si>
  <si>
    <t>Locking Wrists</t>
  </si>
  <si>
    <t>Inner Reserve (greater)</t>
  </si>
  <si>
    <t>+6 bonus</t>
  </si>
  <si>
    <t>Loss of Vision</t>
  </si>
  <si>
    <t>Internal Clock</t>
  </si>
  <si>
    <t>Mute</t>
  </si>
  <si>
    <t>Judge of Angles</t>
  </si>
  <si>
    <t>Nose Bleeds</t>
  </si>
  <si>
    <t>Judge of Metal</t>
  </si>
  <si>
    <t>+20 Metal Lore, Metal Evaluation, Metal Crafts</t>
  </si>
  <si>
    <t>Not Graceful</t>
  </si>
  <si>
    <t>Judge of Stone</t>
  </si>
  <si>
    <t>+20 Stone Lore, Stone Evaluation, Stone Crafts</t>
  </si>
  <si>
    <t>Not Subtle</t>
  </si>
  <si>
    <t>Judge of Weaponry</t>
  </si>
  <si>
    <t>+40 to Weapon Evaluation</t>
  </si>
  <si>
    <t>Off Balance</t>
  </si>
  <si>
    <t>Lightning Strike</t>
  </si>
  <si>
    <t>One Arm (major)</t>
  </si>
  <si>
    <t>Martial Arts Training (minor)</t>
  </si>
  <si>
    <t>+10, no E skill</t>
  </si>
  <si>
    <t>One Arm (greater)</t>
  </si>
  <si>
    <t>Martial Arts Training (major)</t>
  </si>
  <si>
    <t>One Eye</t>
  </si>
  <si>
    <t>Martial Arts Training (greater)</t>
  </si>
  <si>
    <t>Pain Intolerant</t>
  </si>
  <si>
    <t>Medic</t>
  </si>
  <si>
    <t>+15 First Aid, Use Herbs, Second Aid, Surgery, Diagnostics</t>
  </si>
  <si>
    <t>Natural Archer</t>
  </si>
  <si>
    <t>+5 Missile Weapon CAT</t>
  </si>
  <si>
    <t>Poor Eyesight (minor)</t>
  </si>
  <si>
    <t>Natural Facility With Armour</t>
  </si>
  <si>
    <t>Poor Eyesight (major)</t>
  </si>
  <si>
    <t>Natural Horseman</t>
  </si>
  <si>
    <t>Natural Weapons Master</t>
  </si>
  <si>
    <t>Rain Trauma</t>
  </si>
  <si>
    <t>Nerd</t>
  </si>
  <si>
    <t>+20 Science/Analytic Group. Two E-skills</t>
  </si>
  <si>
    <t>Short of Breath (minor)</t>
  </si>
  <si>
    <t>Obscure Knowledge</t>
  </si>
  <si>
    <t>+10 Lore Obs or Lore Mag CAT, 1 E-skill</t>
  </si>
  <si>
    <t>Short of Breath (major)</t>
  </si>
  <si>
    <t>Outdoorsman</t>
  </si>
  <si>
    <t>Portage Skills</t>
  </si>
  <si>
    <t>Sloth</t>
  </si>
  <si>
    <t>3 ranks</t>
  </si>
  <si>
    <t>Slow</t>
  </si>
  <si>
    <t>10 ranks</t>
  </si>
  <si>
    <t>Slow Healer</t>
  </si>
  <si>
    <t>All Healing times ”cat +1”</t>
  </si>
  <si>
    <t>Spasm</t>
  </si>
  <si>
    <t>Stutter</t>
  </si>
  <si>
    <t>Racial Training (familiar)</t>
  </si>
  <si>
    <t>Tender Skin</t>
  </si>
  <si>
    <t>Racial Training (expert)</t>
  </si>
  <si>
    <t>Tired Legs</t>
  </si>
  <si>
    <t>Shield Attack</t>
  </si>
  <si>
    <t>Uncommon Allergy</t>
  </si>
  <si>
    <t>Skilled (only Comb. or Stand. prog) (lesser)</t>
  </si>
  <si>
    <t>Uncontrollable Strength</t>
  </si>
  <si>
    <t>Skilled (only Comb. or Stand. Prog) (minor)</t>
  </si>
  <si>
    <t>Uncoordinated</t>
  </si>
  <si>
    <t>Sleight-of-Hand</t>
  </si>
  <si>
    <t>Unhealthy</t>
  </si>
  <si>
    <t>Swift Dresser</t>
  </si>
  <si>
    <t>Unique Looks (lesser)</t>
  </si>
  <si>
    <t>Trained Regular Footman</t>
  </si>
  <si>
    <t>Unique Looks (minor)</t>
  </si>
  <si>
    <t>Underground Uprising</t>
  </si>
  <si>
    <t>Unique Looks (major)</t>
  </si>
  <si>
    <t>Warrior Extraordinare</t>
  </si>
  <si>
    <t>+ Combat Man skills as E</t>
  </si>
  <si>
    <t>Unwakeable</t>
  </si>
  <si>
    <t>Weapon Control</t>
  </si>
  <si>
    <t>Weak Physique</t>
  </si>
  <si>
    <t>Weight Intolerant</t>
  </si>
  <si>
    <t>Physical Abilities (MAX 3)</t>
  </si>
  <si>
    <t>Physical, max 3</t>
  </si>
  <si>
    <t>Wimp</t>
  </si>
  <si>
    <t>Accelerated Mending</t>
  </si>
  <si>
    <t>Does not apply to conc hits</t>
  </si>
  <si>
    <t>Visible Aura</t>
  </si>
  <si>
    <t>Acute Hearing</t>
  </si>
  <si>
    <t>Acute Smell</t>
  </si>
  <si>
    <t>Mental Flaws</t>
  </si>
  <si>
    <t>Ambidexterity (lesser)</t>
  </si>
  <si>
    <t>Mental</t>
  </si>
  <si>
    <t>Ambidexterity (minor)</t>
  </si>
  <si>
    <t>+15 Two-weapon Combat</t>
  </si>
  <si>
    <t>Addiction/Simple (common) (Alcohol)</t>
  </si>
  <si>
    <t>Battle Cry</t>
  </si>
  <si>
    <t>Addiction/Simple (rare)</t>
  </si>
  <si>
    <t>Blazing Speed</t>
  </si>
  <si>
    <t>Addiction/Mild (common)</t>
  </si>
  <si>
    <t>Cold Resistance (lesser)</t>
  </si>
  <si>
    <t>Addiction/Mild (rare)</t>
  </si>
  <si>
    <t>Cold Resistance (minor)</t>
  </si>
  <si>
    <t>Addiction/Serious (common)</t>
  </si>
  <si>
    <t>Cold Resistance (major)</t>
  </si>
  <si>
    <t>Addiction/Serious (rare)</t>
  </si>
  <si>
    <t>Cold Resistance (greater)</t>
  </si>
  <si>
    <t>+40 bonus</t>
  </si>
  <si>
    <t>Addiction/Harmful</t>
  </si>
  <si>
    <t>Combat Reflexes (can't take with Lightning Ref.)</t>
  </si>
  <si>
    <t xml:space="preserve">Extra die, no +5 Init. </t>
  </si>
  <si>
    <t>Addiction/Fatal</t>
  </si>
  <si>
    <t>Commanding Demeanor</t>
  </si>
  <si>
    <t>Bad Temper</t>
  </si>
  <si>
    <t>Dead Eye</t>
  </si>
  <si>
    <t>No bonus, range penalties halved</t>
  </si>
  <si>
    <t>Battle Confusion</t>
  </si>
  <si>
    <t>Ear for Music</t>
  </si>
  <si>
    <t>Blood-Guilt</t>
  </si>
  <si>
    <t>Eye of the Tiger</t>
  </si>
  <si>
    <t>Bloodlust</t>
  </si>
  <si>
    <t>Chivalrous</t>
  </si>
  <si>
    <t>Fluid Wrists</t>
  </si>
  <si>
    <t>Code of Honour</t>
  </si>
  <si>
    <t>Compulsive Behaviour</t>
  </si>
  <si>
    <t>Golden Throat</t>
  </si>
  <si>
    <t>Delusionary (lesser)</t>
  </si>
  <si>
    <t>Great Arm</t>
  </si>
  <si>
    <t>Delusionary (minor)</t>
  </si>
  <si>
    <t>Hammerhand</t>
  </si>
  <si>
    <t>Delusionary (major)</t>
  </si>
  <si>
    <t>Heat Resistace (lesser)</t>
  </si>
  <si>
    <t>Disavowed Weapons</t>
  </si>
  <si>
    <t>Heat Resistance (minor)</t>
  </si>
  <si>
    <t>Heat Resistance (major)</t>
  </si>
  <si>
    <t>Easy Mark</t>
  </si>
  <si>
    <t>-50 Sense Ambush</t>
  </si>
  <si>
    <t>Heat Resistance (greater)</t>
  </si>
  <si>
    <t>Fanatic</t>
  </si>
  <si>
    <t>High Jumper</t>
  </si>
  <si>
    <t>Fearlessness</t>
  </si>
  <si>
    <t>High Range Voice</t>
  </si>
  <si>
    <t>Hypercharged Adrenaline</t>
  </si>
  <si>
    <t>Fear of Armour</t>
  </si>
  <si>
    <t>Fear of Magic</t>
  </si>
  <si>
    <t>Intense Eye</t>
  </si>
  <si>
    <t>Glutton</t>
  </si>
  <si>
    <t>Light Sleeper</t>
  </si>
  <si>
    <t>Alertness Maneuver</t>
  </si>
  <si>
    <t>Greedy</t>
  </si>
  <si>
    <t>Manual Defenses</t>
  </si>
  <si>
    <t>Indecision</t>
  </si>
  <si>
    <t>Natural Athletic</t>
  </si>
  <si>
    <t>Bonus DP (CO-bonus) to Athletic Group only</t>
  </si>
  <si>
    <t>Impulsive</t>
  </si>
  <si>
    <t>Natural Physique</t>
  </si>
  <si>
    <t>+20 Body Dev, no E skill</t>
  </si>
  <si>
    <t>Intolerance (minor)</t>
  </si>
  <si>
    <t>Natural Weapon</t>
  </si>
  <si>
    <t>Intolerance (major)</t>
  </si>
  <si>
    <t>Navigation Gift</t>
  </si>
  <si>
    <t>Kleptomaniac</t>
  </si>
  <si>
    <t>Neutral Odor</t>
  </si>
  <si>
    <t>Lecherous</t>
  </si>
  <si>
    <t>Nightvision</t>
  </si>
  <si>
    <t>Megalomaniac</t>
  </si>
  <si>
    <t>Nimble Skeleton</t>
  </si>
  <si>
    <t>Memory Loss</t>
  </si>
  <si>
    <t>Pain Resistance (lesser -1)</t>
  </si>
  <si>
    <t xml:space="preserve">No bonus, - conc hits </t>
  </si>
  <si>
    <t>Pain Resistance (minor -2)</t>
  </si>
  <si>
    <t>Minor Fear (minor)</t>
  </si>
  <si>
    <t>Pain Resistance (major -4)</t>
  </si>
  <si>
    <t>Minor Fear (major)</t>
  </si>
  <si>
    <t>Pain Resistance (greater -6)</t>
  </si>
  <si>
    <t>Miser</t>
  </si>
  <si>
    <t>Peripheral Vision</t>
  </si>
  <si>
    <t>Oblivious</t>
  </si>
  <si>
    <t>Overconfident</t>
  </si>
  <si>
    <t>Quiet Stride</t>
  </si>
  <si>
    <t>Pacifist (minor)</t>
  </si>
  <si>
    <t>Regeneration (minor, 1/min)</t>
  </si>
  <si>
    <t>Pacifist (major)</t>
  </si>
  <si>
    <t>Regeneration (major, 1/rnd)</t>
  </si>
  <si>
    <t>Pacifist (greater)</t>
  </si>
  <si>
    <t>Regeneration (greater, 3/rnd)</t>
  </si>
  <si>
    <t>Paranoid</t>
  </si>
  <si>
    <t>Resilient</t>
  </si>
  <si>
    <t>Passive</t>
  </si>
  <si>
    <t>Reverbative Strength</t>
  </si>
  <si>
    <t>Phobia (minor)</t>
  </si>
  <si>
    <t>Shield Mastery</t>
  </si>
  <si>
    <t>Phobia (major)</t>
  </si>
  <si>
    <t>Steel Grip</t>
  </si>
  <si>
    <t>-1 Fumble Range</t>
  </si>
  <si>
    <t>Phobia (greater)</t>
  </si>
  <si>
    <t>Strong Lungs</t>
  </si>
  <si>
    <t>Poor Concentration</t>
  </si>
  <si>
    <t>Sturdy Build</t>
  </si>
  <si>
    <t>Pyromaniac</t>
  </si>
  <si>
    <t>Subconscious Preparation</t>
  </si>
  <si>
    <t>Queasy</t>
  </si>
  <si>
    <t>Subtle</t>
  </si>
  <si>
    <t>Sadist</t>
  </si>
  <si>
    <t>Tensile (minor)</t>
  </si>
  <si>
    <t>one type</t>
  </si>
  <si>
    <t>Sense of Duty (lesser)</t>
  </si>
  <si>
    <t>Tensile (major)</t>
  </si>
  <si>
    <t>two types</t>
  </si>
  <si>
    <t>Sense of Duty (minor)</t>
  </si>
  <si>
    <t>Tensile (greater)</t>
  </si>
  <si>
    <t>three types</t>
  </si>
  <si>
    <t>Sense of Duty (greater)</t>
  </si>
  <si>
    <t>Tolerance</t>
  </si>
  <si>
    <t>Split Personality</t>
  </si>
  <si>
    <t>Tough Skin (wolf, AT3)</t>
  </si>
  <si>
    <t>Stubborn</t>
  </si>
  <si>
    <t>Tough Skin (tiger, AT 4, APP -20)</t>
  </si>
  <si>
    <t>Superstitious</t>
  </si>
  <si>
    <t>Tough Skin (insect, AT 11, APP -40)</t>
  </si>
  <si>
    <t>Trauma (minor)</t>
  </si>
  <si>
    <t>Unnatural Stamina</t>
  </si>
  <si>
    <t>Trauma (major)</t>
  </si>
  <si>
    <t>Trauma (greater)</t>
  </si>
  <si>
    <t>Mystical Abilities (MAX 2)</t>
  </si>
  <si>
    <t>Truthful (lesser)</t>
  </si>
  <si>
    <t>see doc</t>
  </si>
  <si>
    <t>Aggression</t>
  </si>
  <si>
    <t>Mystical, max 2</t>
  </si>
  <si>
    <t>Truthful (major)</t>
  </si>
  <si>
    <t>as in RMFRP</t>
  </si>
  <si>
    <t>Archetype</t>
  </si>
  <si>
    <t>Vow (lesser)</t>
  </si>
  <si>
    <t>Vow (minor)</t>
  </si>
  <si>
    <t>Vow (major)</t>
  </si>
  <si>
    <t>Aura (lesser)</t>
  </si>
  <si>
    <t>+1 PP per rank</t>
  </si>
  <si>
    <t>Vow (greater)</t>
  </si>
  <si>
    <t>Aura (minor)</t>
  </si>
  <si>
    <t>+2 PP per rank</t>
  </si>
  <si>
    <t>Weapon Bane</t>
  </si>
  <si>
    <t>Aura (major)</t>
  </si>
  <si>
    <t>+3 PP per rank</t>
  </si>
  <si>
    <t>Weak Mind (MC p. 19)</t>
  </si>
  <si>
    <t>Danger Sense</t>
  </si>
  <si>
    <t>Special Flaws</t>
  </si>
  <si>
    <t>Destiny Sense</t>
  </si>
  <si>
    <t>Cursed Shape Shifter</t>
  </si>
  <si>
    <t>Eloquence</t>
  </si>
  <si>
    <t>Dark Pact</t>
  </si>
  <si>
    <t>Ensorcellment Cure</t>
  </si>
  <si>
    <t>Dark Temptation</t>
  </si>
  <si>
    <t>Dependent (minor)</t>
  </si>
  <si>
    <t>Exceptional Magical Ability</t>
  </si>
  <si>
    <t>Dependent (major)</t>
  </si>
  <si>
    <t>Innate Magician</t>
  </si>
  <si>
    <t>Dependent (greater)</t>
  </si>
  <si>
    <t>Duty (minor)</t>
  </si>
  <si>
    <t>Look of Eagles</t>
  </si>
  <si>
    <t>Duty (major)</t>
  </si>
  <si>
    <t>Magical Affinity</t>
  </si>
  <si>
    <t>Duty (greater)</t>
  </si>
  <si>
    <t>Magical Resistance</t>
  </si>
  <si>
    <t>+50 bonus</t>
  </si>
  <si>
    <t>Friendslayer</t>
  </si>
  <si>
    <t>Mana Reading</t>
  </si>
  <si>
    <t>Lack of Scope</t>
  </si>
  <si>
    <t>Mana Sensing</t>
  </si>
  <si>
    <t>Lack of Time</t>
  </si>
  <si>
    <t>Mental Agility (MC p. 18)</t>
  </si>
  <si>
    <t>Lycanthropy</t>
  </si>
  <si>
    <t>Neutral Aura (MC p. 18)</t>
  </si>
  <si>
    <t>Magic Allergy (minor)</t>
  </si>
  <si>
    <t>And Arcane Magic</t>
  </si>
  <si>
    <t>Piercing Eyes (MC p. 18)</t>
  </si>
  <si>
    <t>Magic Allergy (major)</t>
  </si>
  <si>
    <t>Magic Allergy (greater)</t>
  </si>
  <si>
    <t>Magically Suspectible</t>
  </si>
  <si>
    <t>Magically Vulnerable</t>
  </si>
  <si>
    <t>Resistance</t>
  </si>
  <si>
    <t>+15 RR against spells</t>
  </si>
  <si>
    <t>Magic Bane</t>
  </si>
  <si>
    <t>Runic Lore</t>
  </si>
  <si>
    <t>Necromantic Urge</t>
  </si>
  <si>
    <t>Spatial Skills (minor)</t>
  </si>
  <si>
    <t>Open Book (MC p. 19)</t>
  </si>
  <si>
    <t>Spatial Skills (major)</t>
  </si>
  <si>
    <t>Self → touch</t>
  </si>
  <si>
    <t>Open Door</t>
  </si>
  <si>
    <t>Sub-conscious Discipline</t>
  </si>
  <si>
    <t>Part Animal</t>
  </si>
  <si>
    <t>Temporal Skills</t>
  </si>
  <si>
    <t>Poor Control</t>
  </si>
  <si>
    <t>Transcendence</t>
  </si>
  <si>
    <t>Undetectable</t>
  </si>
  <si>
    <t>Unnatural Aging</t>
  </si>
  <si>
    <t>Mental Abilities (MAX 2, Mentalism users 4)</t>
  </si>
  <si>
    <t>Power Leakage</t>
  </si>
  <si>
    <t>Animal Empathy</t>
  </si>
  <si>
    <t>Mental, Max 2, mentalism 4</t>
  </si>
  <si>
    <t>Repulsive Habit (minor)</t>
  </si>
  <si>
    <t>Battle Reflexes</t>
  </si>
  <si>
    <t>Repulsive Habit (major)</t>
  </si>
  <si>
    <t>Calmness</t>
  </si>
  <si>
    <t>Repulsive Habit (greater)</t>
  </si>
  <si>
    <t>Dominance</t>
  </si>
  <si>
    <t>Rival/NPC (minor)</t>
  </si>
  <si>
    <t>Rival/NPC (major)</t>
  </si>
  <si>
    <t>Excellent Memory (MC p. 18)</t>
  </si>
  <si>
    <t>Rival/NPC (greater)</t>
  </si>
  <si>
    <t>Good Battlefield Awareness</t>
  </si>
  <si>
    <t>Rival/PC (minor)</t>
  </si>
  <si>
    <t>Immovable Will</t>
  </si>
  <si>
    <t>Rival/PC (major)</t>
  </si>
  <si>
    <t>Instinctive Defense</t>
  </si>
  <si>
    <t>Rival/PC (greater)</t>
  </si>
  <si>
    <t>Internal Sense</t>
  </si>
  <si>
    <t>Secret (minor)</t>
  </si>
  <si>
    <t>Master Tactician</t>
  </si>
  <si>
    <t>Secret (major)</t>
  </si>
  <si>
    <t>Secret (greater)</t>
  </si>
  <si>
    <t>Mental Link</t>
  </si>
  <si>
    <t>Secret Identity</t>
  </si>
  <si>
    <t>Mental Scan</t>
  </si>
  <si>
    <t>Stat Penalty (minor)</t>
  </si>
  <si>
    <t>Stat Penalty (major)</t>
  </si>
  <si>
    <t>Photographic Memory</t>
  </si>
  <si>
    <t>Stat Penalty (greater)</t>
  </si>
  <si>
    <t>Quick Calculator</t>
  </si>
  <si>
    <t>Terrible Luck</t>
  </si>
  <si>
    <t>Speed Reading</t>
  </si>
  <si>
    <t>Tongue Tied (MC p. 19)</t>
  </si>
  <si>
    <t>Stability Sense</t>
  </si>
  <si>
    <t>The Slain</t>
  </si>
  <si>
    <t>Survival Instinct</t>
  </si>
  <si>
    <t>Unlucky</t>
  </si>
  <si>
    <t>Telekinesis</t>
  </si>
  <si>
    <t>Unusual Aura (MC p. 19)</t>
  </si>
  <si>
    <t>Telepathy</t>
  </si>
  <si>
    <t>Wrath</t>
  </si>
  <si>
    <t>Unbeliever</t>
  </si>
  <si>
    <t>Violent Prejudice</t>
  </si>
  <si>
    <t>Special Abilities (MAX 1)</t>
  </si>
  <si>
    <t>Adherent</t>
  </si>
  <si>
    <t>Special, max 1</t>
  </si>
  <si>
    <t>Amazing Leap</t>
  </si>
  <si>
    <t>Attribute Drain</t>
  </si>
  <si>
    <t>Bane</t>
  </si>
  <si>
    <t>Blessed by War God</t>
  </si>
  <si>
    <t>Darkness</t>
  </si>
  <si>
    <t>Dark V, 2d10 exhaustion</t>
  </si>
  <si>
    <t>Ensnare (major)</t>
  </si>
  <si>
    <t>Special Attack only as E skill</t>
  </si>
  <si>
    <t>Ensnare (greater)</t>
  </si>
  <si>
    <t>as in Talent law, range +20'</t>
  </si>
  <si>
    <t>Eye of the Hawk</t>
  </si>
  <si>
    <t>+100' range</t>
  </si>
  <si>
    <t>Flare</t>
  </si>
  <si>
    <t>Life Support (sustenance)</t>
  </si>
  <si>
    <t>Life Support (major)</t>
  </si>
  <si>
    <t>need sleep to recover points</t>
  </si>
  <si>
    <t>Life Support (greater)</t>
  </si>
  <si>
    <t>Lifetime Goal</t>
  </si>
  <si>
    <t>Luck, Dramatic (lesser)</t>
  </si>
  <si>
    <t>open ended 95-100 and 1-6</t>
  </si>
  <si>
    <t>Luck, Dramatic (minor)</t>
  </si>
  <si>
    <t>open ended 94-100 and 1-7</t>
  </si>
  <si>
    <t>Luck, Dramatic (major)</t>
  </si>
  <si>
    <t>open ended 93-100 and 1-8</t>
  </si>
  <si>
    <t>Luck, Dramatic (greater)</t>
  </si>
  <si>
    <t>open ended 92-100 and 1-9</t>
  </si>
  <si>
    <t>Lucky (minor)</t>
  </si>
  <si>
    <t>open ended 95-100</t>
  </si>
  <si>
    <t>Lucky (major)</t>
  </si>
  <si>
    <t>open ended 94-100</t>
  </si>
  <si>
    <t>Lucky (greater)</t>
  </si>
  <si>
    <t>open ended 93-100</t>
  </si>
  <si>
    <t>Master Warrior Friend</t>
  </si>
  <si>
    <t>Skill and CAT</t>
  </si>
  <si>
    <t>Mentor</t>
  </si>
  <si>
    <t>Microscopic Vision</t>
  </si>
  <si>
    <t>Natural Ranged Attack (major)</t>
  </si>
  <si>
    <t>Natural Ranged Attack (greater)</t>
  </si>
  <si>
    <t>Sense</t>
  </si>
  <si>
    <t>Shapechanger</t>
  </si>
  <si>
    <t>Equipment and clothes change too</t>
  </si>
  <si>
    <t>Special Familiar</t>
  </si>
  <si>
    <t>Stat Bonus (minor)</t>
  </si>
  <si>
    <t>random unless prime stat</t>
  </si>
  <si>
    <t>Stat Bonus (major)</t>
  </si>
  <si>
    <t>Stat Improvement</t>
  </si>
  <si>
    <t>Succor (minor, 1 ailment)</t>
  </si>
  <si>
    <t>Succor (major, 3 ailments)</t>
  </si>
  <si>
    <t>Succor (greater, 5 ailments)</t>
  </si>
  <si>
    <t>Summon</t>
  </si>
  <si>
    <t>Special Items (NO LIMIT)</t>
  </si>
  <si>
    <t>Items, no limit</t>
  </si>
  <si>
    <t>Bonus Item I</t>
  </si>
  <si>
    <t>1 x +5NM item</t>
  </si>
  <si>
    <t>Bonus Item II</t>
  </si>
  <si>
    <t>2 x +10NM item</t>
  </si>
  <si>
    <t>Bonus Item III</t>
  </si>
  <si>
    <t>3 x +5NM Item OR 1 x +15NM Item</t>
  </si>
  <si>
    <t>Bonus Item IV</t>
  </si>
  <si>
    <t>3 x +5M Item OR 1 x +15M Item OR 1 x +20NM Item</t>
  </si>
  <si>
    <t>Bonus Item V</t>
  </si>
  <si>
    <t>2 x +10M Item</t>
  </si>
  <si>
    <t>Bonus Item VI</t>
  </si>
  <si>
    <t>1 x +20M Item</t>
  </si>
  <si>
    <t>Bonus Item VII</t>
  </si>
  <si>
    <t>3 x +10M Item</t>
  </si>
  <si>
    <t>Bonus Item VIII</t>
  </si>
  <si>
    <t>2 x +20M Item</t>
  </si>
  <si>
    <t>Daily Item I</t>
  </si>
  <si>
    <t>Daily Item II</t>
  </si>
  <si>
    <t>Daily Item III</t>
  </si>
  <si>
    <t>Daily Item IV</t>
  </si>
  <si>
    <t>Daily Item V</t>
  </si>
  <si>
    <t>Daily Item VI</t>
  </si>
  <si>
    <t>Daily Item VII</t>
  </si>
  <si>
    <t>Daily Item VIII</t>
  </si>
  <si>
    <t>Loyal Domesticated Animal</t>
  </si>
  <si>
    <t>Loyal Unusual Creature</t>
  </si>
  <si>
    <t>Potion, 3 doses</t>
  </si>
  <si>
    <t>Potion, 5 doses</t>
  </si>
  <si>
    <t>Rune Paper, 3 sheets</t>
  </si>
  <si>
    <t>Rune Paper, 5 sheets</t>
  </si>
  <si>
    <t>Special Bread/Poison/Herb</t>
  </si>
  <si>
    <t>Spell Adder +1</t>
  </si>
  <si>
    <t>For own Magic Realm</t>
  </si>
  <si>
    <t>Spell Adder +2</t>
  </si>
  <si>
    <t>Spell Adder +3</t>
  </si>
  <si>
    <t>Spell Adder +4</t>
  </si>
  <si>
    <t>Power Point Multiplier x 2</t>
  </si>
  <si>
    <t>Roll / Race Type</t>
  </si>
  <si>
    <t>Man</t>
  </si>
  <si>
    <t>Elf</t>
  </si>
  <si>
    <t>Rodun tyyppi</t>
  </si>
  <si>
    <t>Missing from races / not finished</t>
  </si>
  <si>
    <t>Talent 1</t>
  </si>
  <si>
    <t>Talent 2</t>
  </si>
  <si>
    <t>Talent 3</t>
  </si>
  <si>
    <t>Talent 4</t>
  </si>
  <si>
    <t>Talent 5</t>
  </si>
  <si>
    <t>Racial Training (+20 to 6 non-combat hobby skills)</t>
  </si>
  <si>
    <t>Bonus to Tale Telling +15</t>
  </si>
  <si>
    <t>Cold Resistance (lesser) +5</t>
  </si>
  <si>
    <t>Heat Resistance (minor) +15</t>
  </si>
  <si>
    <t>Cold Resistance (minor) +15</t>
  </si>
  <si>
    <t>Racial Training (+10 to 6 non-combat hobby skills)</t>
  </si>
  <si>
    <t>1 Melee or Directed Spell skill</t>
  </si>
  <si>
    <t>Religion (Drow)</t>
  </si>
  <si>
    <t>Survival (Underground)</t>
  </si>
  <si>
    <t>1 Athletic Skill</t>
  </si>
  <si>
    <t>-30 in direct sunlight</t>
  </si>
  <si>
    <t>Any Armour Skills</t>
  </si>
  <si>
    <t>Crafts</t>
  </si>
  <si>
    <t>+10 Survival (underground)</t>
  </si>
  <si>
    <t>+10 Religion (Drow)</t>
  </si>
  <si>
    <t>+20 Religion (Drow)</t>
  </si>
  <si>
    <t>Count, Countess, Deacon</t>
  </si>
  <si>
    <t>Prince, Princess, Cardinal</t>
  </si>
  <si>
    <t>Duke, Duchess, Arch Bishop</t>
  </si>
  <si>
    <t>Marquis/Marquess, Bishop</t>
  </si>
  <si>
    <t>Earl, Pastor</t>
  </si>
  <si>
    <t>1.037</t>
  </si>
  <si>
    <t xml:space="preserve">DP Cost multipliers for AG, QU, ST, IN -&gt; 0,8 </t>
  </si>
  <si>
    <t>DP Cost multipliers for ME, RE, EM -&gt; 1,2</t>
  </si>
  <si>
    <t>Professions with EM as prime stat can't learn Essence Spells</t>
  </si>
  <si>
    <t>Priests of &lt;element&gt; can't learn/use their Own Base Lists</t>
  </si>
  <si>
    <t>Added comment:</t>
  </si>
  <si>
    <t>Changes below</t>
  </si>
  <si>
    <t>Cell</t>
  </si>
  <si>
    <t>Stats / N3</t>
  </si>
  <si>
    <t>Stats / N4</t>
  </si>
  <si>
    <t>Removed</t>
  </si>
  <si>
    <t>Fixed some disappeared sum cells</t>
  </si>
  <si>
    <t>Added more slots for survival and foraging skills</t>
  </si>
  <si>
    <t xml:space="preserve">Removed </t>
  </si>
  <si>
    <t>1-H Edged</t>
  </si>
  <si>
    <t>Removed negative mods from used PPs</t>
  </si>
  <si>
    <t>PP/8h sleep</t>
  </si>
  <si>
    <t>PP/h rest</t>
  </si>
  <si>
    <t>PP/1h act</t>
  </si>
  <si>
    <t>Adjusted PP point regeneration</t>
  </si>
  <si>
    <t>Stats / L25</t>
  </si>
  <si>
    <t>Stats / L26</t>
  </si>
  <si>
    <t>1.100</t>
  </si>
  <si>
    <t>Notes</t>
  </si>
  <si>
    <t>DP Cost multipliers for AG, QU, ST, IN -&gt; 1,0</t>
  </si>
  <si>
    <t>DP Cost multipliers for ME, RE, EM -&gt; 1,0</t>
  </si>
  <si>
    <t>5 per 8h sleep</t>
  </si>
  <si>
    <t>1 per 8h sleep</t>
  </si>
  <si>
    <t>Removed Open and Closed Spell Lists</t>
  </si>
  <si>
    <t>Converted background spell ranks to hobby ranks</t>
  </si>
  <si>
    <t>Tidied up everyman skills etc displayment</t>
  </si>
  <si>
    <t>Apu TP:t</t>
  </si>
  <si>
    <t>Time (months)</t>
  </si>
  <si>
    <t>Own Realm Other Base List</t>
  </si>
  <si>
    <t>Other Realm Base List</t>
  </si>
  <si>
    <t>Absorb Power Points</t>
  </si>
  <si>
    <t>Power Manipulations -category; drains PP from items</t>
  </si>
  <si>
    <t xml:space="preserve">Removed skill "Channeling" </t>
  </si>
  <si>
    <t>Power Manipulations -category</t>
  </si>
  <si>
    <t>Added skill "Absorb Power Points"</t>
  </si>
  <si>
    <t>Profession 1:</t>
  </si>
  <si>
    <t>Level P1 / XP:</t>
  </si>
  <si>
    <t>Level P2 / XP:</t>
  </si>
  <si>
    <t>Profession 2:</t>
  </si>
  <si>
    <t>CHOOSE PROFESSION 1!</t>
  </si>
  <si>
    <t>CHOOSE PROFESSION 2!</t>
  </si>
  <si>
    <t>Cost / P1</t>
  </si>
  <si>
    <t>Cost / P2</t>
  </si>
  <si>
    <t>Added dual professions</t>
  </si>
  <si>
    <t>CO/EM/IN/PR</t>
  </si>
  <si>
    <t>Version</t>
  </si>
  <si>
    <t>Super Mähönen</t>
  </si>
  <si>
    <t>Long Description</t>
  </si>
  <si>
    <t>The character with this talent is able to retain far more of ant material that he has read than normal people retain. this results in a special bonus number of DPs equal to The sum of character’s Reasoning and Memory stat bonuses that may only be spent on skills in The Lore group.</t>
  </si>
  <si>
    <t>Skilled</t>
  </si>
  <si>
    <t>Choose one secondary skill that maybe classified as everyman skill.</t>
  </si>
  <si>
    <t>Blabber</t>
  </si>
  <si>
    <t>Character keeps on talking (need to roleplay this flaw). 20% chance character talks when he should be quiet (for example sneaking/hiding or during silent moment in funeral)</t>
  </si>
  <si>
    <t>Dragonfool</t>
  </si>
  <si>
    <t>Fervently disbelieves dragons did exist and will go so far as to prove the dragon is a very powerful series of damage and illusion spells. Cannot be convinced otherwise.</t>
  </si>
  <si>
    <t>Birdhater</t>
  </si>
  <si>
    <t>They hate birds with a passion. Depending on their intelligence or charisma they will have different things to say about the "filthy flying monsters" or how "they think they are so cool being able to fly". It can make my dumb druid go into a rant about how they are satan's assholes with little to no warning or he will flat out growl at them.</t>
  </si>
  <si>
    <t>Reader</t>
  </si>
  <si>
    <t>You can’t read and can’t learn to read, but would never admit to it. You’ll try to hide this flaw the best you can.</t>
  </si>
  <si>
    <t xml:space="preserve">Battlezophrenic </t>
  </si>
  <si>
    <t>Schizophrenic who must make a SD test (roll D100 and add 3xSD stat, if result is under 100 -&gt; fail) whenever combat starts to avoid switching to evil bloodlust personality for the duration of combat (it will take 2 rounds to calm to normal person after last enemy is slain/incapatisated or has surrendered)</t>
  </si>
  <si>
    <t xml:space="preserve">Ei bonusta asekykyyn. +20 Armour categories. HUOM, kategorioista ei tule E-kykyjä, ainoastaan weapon skilleistä). </t>
  </si>
  <si>
    <t>+5 bonus</t>
  </si>
  <si>
    <t>+15, no E-skill</t>
  </si>
  <si>
    <t>+5, no E skill</t>
  </si>
  <si>
    <t>Power (lesser)</t>
  </si>
  <si>
    <t>Power (minor)</t>
  </si>
  <si>
    <t>Power (major)</t>
  </si>
  <si>
    <t>15 ranks</t>
  </si>
  <si>
    <t>Can't take bonus to a weapon skill</t>
  </si>
  <si>
    <t>CAT +5 or skill +10. Only secondary skills.</t>
  </si>
  <si>
    <t>CAT +10 or skill +20. Only secondary skills.</t>
  </si>
  <si>
    <t>While in combat, all of your allies who can see you gain a special bonus of +5 to their OBs. Any foe who can see you must make a Fear RR (using your current experience level as the attack level) or fight with a penalty of -10.</t>
  </si>
  <si>
    <t>Same crit roll</t>
  </si>
  <si>
    <t>Bonus does not apply to bolts (but it does apply to balls).</t>
  </si>
  <si>
    <t>Special bonus of +10 DB</t>
  </si>
  <si>
    <t>Max as Shock Bolt or Sling</t>
  </si>
  <si>
    <t>Max as Fire Bolt or Heavy Crossbow</t>
  </si>
  <si>
    <t>You can't use any magic items</t>
  </si>
  <si>
    <t>Will not learn spell list</t>
  </si>
  <si>
    <t>Updated Talents and Flaws</t>
  </si>
  <si>
    <t>As in Talents &amp; Flaws 1.021.doc</t>
  </si>
  <si>
    <t>Sun Elf</t>
  </si>
  <si>
    <t>Moon Elf</t>
  </si>
  <si>
    <t>Wood Elf</t>
  </si>
  <si>
    <t>min height</t>
  </si>
  <si>
    <t>max height</t>
  </si>
  <si>
    <t>average</t>
  </si>
  <si>
    <t>min weight</t>
  </si>
  <si>
    <t>max weight</t>
  </si>
  <si>
    <t>Main Race</t>
  </si>
  <si>
    <t>Wild Elf</t>
  </si>
  <si>
    <t>Aquatic Elf</t>
  </si>
  <si>
    <t>Gray / Duergar</t>
  </si>
  <si>
    <t>Deep Gnome</t>
  </si>
  <si>
    <t>Gnome</t>
  </si>
  <si>
    <t>Rock Gnome</t>
  </si>
  <si>
    <t>Human</t>
  </si>
  <si>
    <t>Calishite</t>
  </si>
  <si>
    <t>Chondathan</t>
  </si>
  <si>
    <t>Illuskan</t>
  </si>
  <si>
    <t>Mulan</t>
  </si>
  <si>
    <t>Rashemi</t>
  </si>
  <si>
    <t>Tethyrian</t>
  </si>
  <si>
    <t>Dragonborn</t>
  </si>
  <si>
    <t>Total stat points</t>
  </si>
  <si>
    <t>Damaran</t>
  </si>
  <si>
    <t>Arkaiun</t>
  </si>
  <si>
    <t>Bedine</t>
  </si>
  <si>
    <t>Ffolk</t>
  </si>
  <si>
    <t>Gur</t>
  </si>
  <si>
    <t>Halruaan</t>
  </si>
  <si>
    <t>Nar</t>
  </si>
  <si>
    <t>Shaaran</t>
  </si>
  <si>
    <t>Tuigan</t>
  </si>
  <si>
    <t>Urban Man</t>
  </si>
  <si>
    <t>+15 Hiding</t>
  </si>
  <si>
    <t>+15 Armor Medium CAT</t>
  </si>
  <si>
    <t>Common</t>
  </si>
  <si>
    <t>Dwarvish</t>
  </si>
  <si>
    <t>Elvish</t>
  </si>
  <si>
    <t>Extra Language</t>
  </si>
  <si>
    <t>+10 RR vs Fear</t>
  </si>
  <si>
    <t>30' telepathy</t>
  </si>
  <si>
    <t>Dambrathan</t>
  </si>
  <si>
    <t>Midani</t>
  </si>
  <si>
    <t>Alzhedo</t>
  </si>
  <si>
    <t>Waelan</t>
  </si>
  <si>
    <t>Guran</t>
  </si>
  <si>
    <t>Draconic</t>
  </si>
  <si>
    <t>Roushoum</t>
  </si>
  <si>
    <t>Chessentan</t>
  </si>
  <si>
    <t>Dambrathan (written in Espruar)</t>
  </si>
  <si>
    <t>Damaran (written in Dethek)</t>
  </si>
  <si>
    <t>Halruaan (written in Draconic)</t>
  </si>
  <si>
    <t>Shaaran (written in Dethek)</t>
  </si>
  <si>
    <t>Uluik</t>
  </si>
  <si>
    <t>+25 RR vs Main Element</t>
  </si>
  <si>
    <t>+10 Attunement</t>
  </si>
  <si>
    <t>+10 Absorb Power Points</t>
  </si>
  <si>
    <t>-40 Swimming</t>
  </si>
  <si>
    <t>-10 Sprinting</t>
  </si>
  <si>
    <t>Any Evaluation Skill</t>
  </si>
  <si>
    <t>Any Lore Skill</t>
  </si>
  <si>
    <t>Any Crafts Skill</t>
  </si>
  <si>
    <t>-20 Subterfuge - Stealth CAT</t>
  </si>
  <si>
    <t>Draconic Ancestry</t>
  </si>
  <si>
    <t>Breath Weapon</t>
  </si>
  <si>
    <t>-20 Athletic - Gymnastic CAT</t>
  </si>
  <si>
    <t>Any Power Manipulations Skill</t>
  </si>
  <si>
    <t>Any Science Group Skill</t>
  </si>
  <si>
    <t>Gnomish</t>
  </si>
  <si>
    <t>1.110</t>
  </si>
  <si>
    <t>Changed all races and cultures to Sword Coast ones</t>
  </si>
  <si>
    <t>Changed height and weight tables</t>
  </si>
  <si>
    <t>+15 to Artifact Lore</t>
  </si>
  <si>
    <t>+20 to Engineering</t>
  </si>
  <si>
    <t>+15 to two Crafts</t>
  </si>
  <si>
    <t>All Crafts Skills</t>
  </si>
  <si>
    <t>+10 to Outdoor Animal CAT</t>
  </si>
  <si>
    <t>Any Outdoor GROUP skill</t>
  </si>
  <si>
    <t>+20 to Stealth on rocky terrain</t>
  </si>
  <si>
    <t>Any Weapon Skill</t>
  </si>
  <si>
    <t>1.111</t>
  </si>
  <si>
    <t>Added Magic Realm for secondary profession</t>
  </si>
  <si>
    <t>Stats / D39</t>
  </si>
  <si>
    <t>Added mean professional bonuses</t>
  </si>
  <si>
    <t>Removed DP cost multipliers from Stats page</t>
  </si>
  <si>
    <t>Warding / Symbol Lore</t>
  </si>
  <si>
    <t>Removed Planar Lore from Lore - Magical</t>
  </si>
  <si>
    <t>Combined Symbol Lore to Warding Lore</t>
  </si>
  <si>
    <t>Culture Lore:___________</t>
  </si>
  <si>
    <t>Region Lore: ___________</t>
  </si>
  <si>
    <t>Added blanks for Culture- and Region Lore</t>
  </si>
  <si>
    <t>+10 All Evaluations</t>
  </si>
  <si>
    <t>+10 Appraisal</t>
  </si>
  <si>
    <r>
      <t xml:space="preserve">+20 Animal Handling </t>
    </r>
    <r>
      <rPr>
        <b/>
        <sz val="7"/>
        <color indexed="8"/>
        <rFont val="Arial"/>
        <family val="2"/>
        <charset val="1"/>
      </rPr>
      <t>(</t>
    </r>
    <r>
      <rPr>
        <sz val="7"/>
        <color indexed="8"/>
        <rFont val="Arial"/>
        <family val="2"/>
        <charset val="1"/>
      </rPr>
      <t>horses</t>
    </r>
    <r>
      <rPr>
        <b/>
        <sz val="7"/>
        <color indexed="8"/>
        <rFont val="Arial"/>
        <family val="2"/>
        <charset val="1"/>
      </rPr>
      <t>)</t>
    </r>
  </si>
  <si>
    <r>
      <t xml:space="preserve">+20 Animal Training </t>
    </r>
    <r>
      <rPr>
        <b/>
        <sz val="7"/>
        <color indexed="8"/>
        <rFont val="Arial"/>
        <family val="2"/>
        <charset val="1"/>
      </rPr>
      <t>(</t>
    </r>
    <r>
      <rPr>
        <sz val="7"/>
        <color indexed="8"/>
        <rFont val="Arial"/>
        <family val="2"/>
        <charset val="1"/>
      </rPr>
      <t>horses</t>
    </r>
    <r>
      <rPr>
        <b/>
        <sz val="7"/>
        <color indexed="8"/>
        <rFont val="Arial"/>
        <family val="2"/>
        <charset val="1"/>
      </rPr>
      <t>)</t>
    </r>
  </si>
  <si>
    <r>
      <t xml:space="preserve">+20 Animal Mastery </t>
    </r>
    <r>
      <rPr>
        <b/>
        <sz val="7"/>
        <color indexed="8"/>
        <rFont val="Arial"/>
        <family val="2"/>
        <charset val="1"/>
      </rPr>
      <t>(</t>
    </r>
    <r>
      <rPr>
        <sz val="7"/>
        <color indexed="8"/>
        <rFont val="Arial"/>
        <family val="2"/>
        <charset val="1"/>
      </rPr>
      <t>horses</t>
    </r>
    <r>
      <rPr>
        <b/>
        <sz val="7"/>
        <color indexed="8"/>
        <rFont val="Arial"/>
        <family val="2"/>
        <charset val="1"/>
      </rPr>
      <t>)</t>
    </r>
  </si>
  <si>
    <r>
      <t xml:space="preserve">+20 Riding </t>
    </r>
    <r>
      <rPr>
        <b/>
        <sz val="7"/>
        <color indexed="8"/>
        <rFont val="Arial"/>
        <family val="2"/>
        <charset val="1"/>
      </rPr>
      <t>(</t>
    </r>
    <r>
      <rPr>
        <sz val="7"/>
        <color indexed="8"/>
        <rFont val="Arial"/>
        <family val="2"/>
        <charset val="1"/>
      </rPr>
      <t>horse</t>
    </r>
    <r>
      <rPr>
        <b/>
        <sz val="7"/>
        <color indexed="8"/>
        <rFont val="Arial"/>
        <family val="2"/>
        <charset val="1"/>
      </rPr>
      <t>)</t>
    </r>
  </si>
  <si>
    <t>Arkaiun (rural man)</t>
  </si>
  <si>
    <t>Dusky</t>
  </si>
  <si>
    <t>Dusky Brown</t>
  </si>
  <si>
    <t>Tawny</t>
  </si>
  <si>
    <t>Jewelwork [craft]</t>
  </si>
  <si>
    <t>Fixed typos</t>
  </si>
  <si>
    <t>Ship-Building</t>
  </si>
  <si>
    <t>+10 DB and RR vs Heat and Cold</t>
  </si>
  <si>
    <t>+20 Survival (desert)</t>
  </si>
  <si>
    <t>Any Urban skills</t>
  </si>
  <si>
    <t>Any Social skills</t>
  </si>
  <si>
    <t xml:space="preserve">Any Artistic skills </t>
  </si>
  <si>
    <t>+10 to Lore Magical: Category</t>
  </si>
  <si>
    <t>Any Power Manipulations -skills</t>
  </si>
  <si>
    <t>Any Lore -skills</t>
  </si>
  <si>
    <t>History (Gur)</t>
  </si>
  <si>
    <t>Gray</t>
  </si>
  <si>
    <t>Blond</t>
  </si>
  <si>
    <t>Hunting/Fishing</t>
  </si>
  <si>
    <t>+20 to Lore Magical: Category</t>
  </si>
  <si>
    <t>+20 Attunement</t>
  </si>
  <si>
    <t>Sallow</t>
  </si>
  <si>
    <t>Demon Lore</t>
  </si>
  <si>
    <t>Any Armour – Light skill</t>
  </si>
  <si>
    <t>Shortsword</t>
  </si>
  <si>
    <t>+20 Demon Lore</t>
  </si>
  <si>
    <t>Dusty</t>
  </si>
  <si>
    <t>Yellow-Bronze</t>
  </si>
  <si>
    <t>Riding (Horse)</t>
  </si>
  <si>
    <t>+20 Survival: Mountain</t>
  </si>
  <si>
    <t>+10 Climbing</t>
  </si>
  <si>
    <t>All Outdoor -skills</t>
  </si>
  <si>
    <t>Orcish</t>
  </si>
  <si>
    <t>+50 Swimming</t>
  </si>
  <si>
    <t>Fishing</t>
  </si>
  <si>
    <t>Gills in neck nad Ribs - Can breathe water</t>
  </si>
  <si>
    <t>All Armour Skills</t>
  </si>
  <si>
    <t>Ash</t>
  </si>
  <si>
    <t>Bald</t>
  </si>
  <si>
    <t>Silver-blue</t>
  </si>
  <si>
    <t>Golden Blond</t>
  </si>
  <si>
    <t>Silvery white</t>
  </si>
  <si>
    <t>Copper red</t>
  </si>
  <si>
    <t>Scarlet</t>
  </si>
  <si>
    <t>Bark</t>
  </si>
  <si>
    <t>Grayish</t>
  </si>
  <si>
    <t>Gray - Female</t>
  </si>
  <si>
    <t>Bald - Male</t>
  </si>
  <si>
    <t>Pale</t>
  </si>
  <si>
    <t>Auburn</t>
  </si>
  <si>
    <t>Natural Claw - attack (max result medium)</t>
  </si>
  <si>
    <t>+20 Survival - Forest</t>
  </si>
  <si>
    <t>Can speak with small animals (size no larger than gnome, equal to rank 4)</t>
  </si>
  <si>
    <t>Foraging - Forest</t>
  </si>
  <si>
    <t>In forest can pass without leaving trace</t>
  </si>
  <si>
    <t>+20 Caving</t>
  </si>
  <si>
    <t>-20 Every Awarness roll in sunlight</t>
  </si>
  <si>
    <t>Natural AT 4</t>
  </si>
  <si>
    <t>+20 Awarness - Smell</t>
  </si>
  <si>
    <t>All Outdoor skills</t>
  </si>
  <si>
    <t>+20 Stone Lore</t>
  </si>
  <si>
    <t>+20 Diving</t>
  </si>
  <si>
    <t>+30 Survival - Arctic</t>
  </si>
  <si>
    <t>Survival (Arctic)</t>
  </si>
  <si>
    <t>Nightvision 60 feet</t>
  </si>
  <si>
    <t>Darkvision 20 feet</t>
  </si>
  <si>
    <t>Nightvision 120 feet</t>
  </si>
  <si>
    <t>Darkvision 10 feet</t>
  </si>
  <si>
    <t>Darkvision???</t>
  </si>
  <si>
    <t>http://forgottenrealms.wikia.com/wiki/Aquatic_elf</t>
  </si>
  <si>
    <t>http://forgottenrealms.wikia.com/wiki/Arkaiun</t>
  </si>
  <si>
    <t>http://forgottenrealms.wikia.com/wiki/Bedine</t>
  </si>
  <si>
    <t>http://forgottenrealms.wikia.com/wiki/Calishite</t>
  </si>
  <si>
    <t>http://forgottenrealms.wikia.com/wiki/Chondathan</t>
  </si>
  <si>
    <t>http://forgottenrealms.wikia.com/wiki/Orc</t>
  </si>
  <si>
    <t>http://forgottenrealms.wikia.com/wiki/Damaran</t>
  </si>
  <si>
    <t>http://forgottenrealms.wikia.com/wiki/Deep_gnomes</t>
  </si>
  <si>
    <t>http://forgottenrealms.wikia.com/wiki/Dragonborn</t>
  </si>
  <si>
    <t>http://forgottenrealms.wikia.com/wiki/Drow</t>
  </si>
  <si>
    <t>http://forgottenrealms.wikia.com/wiki/Ffolk</t>
  </si>
  <si>
    <t>Forest Gnome</t>
  </si>
  <si>
    <t>http://forgottenrealms.wikia.com/wiki/Forest_gnome</t>
  </si>
  <si>
    <t>http://forgottenrealms.wikia.com/wiki/Ghostwise_halfling</t>
  </si>
  <si>
    <t>http://forgottenrealms.wikia.com/wiki/Duergar</t>
  </si>
  <si>
    <t>http://forgottenrealms.wikia.com/wiki/Gur</t>
  </si>
  <si>
    <t>http://forgottenrealms.wikia.com/wiki/Half-elf</t>
  </si>
  <si>
    <t>http://forgottenrealms.wikia.com/wiki/Half-orc</t>
  </si>
  <si>
    <t>http://forgottenrealms.wikia.com/wiki/Halruaan_(ethnicity)</t>
  </si>
  <si>
    <t>http://forgottenrealms.wikia.com/wiki/Gold_dwarf</t>
  </si>
  <si>
    <t>http://forgottenrealms.wikia.com/wiki/Illuskan</t>
  </si>
  <si>
    <t>Hill / Gold Dwarf</t>
  </si>
  <si>
    <t>Gray / Duergar Dwarf</t>
  </si>
  <si>
    <t>Ghostwise Halfling</t>
  </si>
  <si>
    <t>http://forgottenrealms.wikia.com/wiki/Lightfoot_halfling</t>
  </si>
  <si>
    <t>http://forgottenrealms.wikia.com/wiki/Moon_elf</t>
  </si>
  <si>
    <t>Mountain / Shield Dwarf</t>
  </si>
  <si>
    <t>http://forgottenrealms.wikia.com/wiki/Shield_dwarf</t>
  </si>
  <si>
    <t>http://forgottenrealms.wikia.com/wiki/Mulan</t>
  </si>
  <si>
    <t>http://forgottenrealms.wikia.com/wiki/Nar_(ethnicity)</t>
  </si>
  <si>
    <t>http://forgottenrealms.wikia.com/wiki/Rashemi</t>
  </si>
  <si>
    <t>http://forgottenrealms.wikia.com/wiki/Rock_gnomes</t>
  </si>
  <si>
    <t>http://forgottenrealms.wikia.com/wiki/Shaaran</t>
  </si>
  <si>
    <t>Strongheart Halfling</t>
  </si>
  <si>
    <t>http://forgottenrealms.wikia.com/wiki/Strongheart_halfling</t>
  </si>
  <si>
    <t>http://forgottenrealms.wikia.com/wiki/Sun_elf</t>
  </si>
  <si>
    <t>http://forgottenrealms.wikia.com/wiki/Tethyrian</t>
  </si>
  <si>
    <t>http://forgottenrealms.wikia.com/wiki/Tuigan</t>
  </si>
  <si>
    <t>http://forgottenrealms.wikia.com/wiki/Ulutiun</t>
  </si>
  <si>
    <t>Ulutiiun</t>
  </si>
  <si>
    <t>http://forgottenrealms.wikia.com/wiki/Wild_elf</t>
  </si>
  <si>
    <t>http://forgottenrealms.wikia.com/wiki/Wood_elf</t>
  </si>
  <si>
    <t>RACE</t>
  </si>
  <si>
    <t>Arkaiun (Rural man)</t>
  </si>
  <si>
    <t>Racial Description Link</t>
  </si>
  <si>
    <t>Stats / N2</t>
  </si>
  <si>
    <t>min height f</t>
  </si>
  <si>
    <t>min height i</t>
  </si>
  <si>
    <t>max height f</t>
  </si>
  <si>
    <t>max height i</t>
  </si>
  <si>
    <t>Deep Imaskari</t>
  </si>
  <si>
    <t>http://forgottenrealms.wikia.com/wiki/Deep Imaskari</t>
  </si>
  <si>
    <t>Foraging: Underground</t>
  </si>
  <si>
    <t>Survival: Underground</t>
  </si>
  <si>
    <t>Hunting: Underground</t>
  </si>
  <si>
    <t>Lightfoot Halfling</t>
  </si>
  <si>
    <t>1.112</t>
  </si>
  <si>
    <t>Fixed several links in formulas</t>
  </si>
  <si>
    <t>Character sheet is now considered "ready to use"</t>
  </si>
  <si>
    <t>Finished racial height and weights</t>
  </si>
  <si>
    <t>Added Racial Description hyperlinks</t>
  </si>
  <si>
    <t>Fixed several typos in races and links</t>
  </si>
  <si>
    <t>Fixed Body Dev &amp; PP progression tables</t>
  </si>
  <si>
    <t>Tweaked some races a bit</t>
  </si>
  <si>
    <t>These are still subject to change!</t>
  </si>
  <si>
    <t>PÄIVITÄ OHJEET-välilehti!!</t>
  </si>
  <si>
    <t>Size</t>
  </si>
  <si>
    <t>Medium</t>
  </si>
  <si>
    <t>Small</t>
  </si>
  <si>
    <t>Tiny</t>
  </si>
  <si>
    <t>Large</t>
  </si>
  <si>
    <t>Huge</t>
  </si>
  <si>
    <t>Gargantuan</t>
  </si>
  <si>
    <t>Height</t>
  </si>
  <si>
    <t>Miniscule</t>
  </si>
  <si>
    <t>diminutive</t>
  </si>
  <si>
    <t>tiny</t>
  </si>
  <si>
    <t>small</t>
  </si>
  <si>
    <t>medium</t>
  </si>
  <si>
    <t>big</t>
  </si>
  <si>
    <t>large</t>
  </si>
  <si>
    <t>huge</t>
  </si>
  <si>
    <t>gigantic</t>
  </si>
  <si>
    <t>enormous</t>
  </si>
  <si>
    <t>weight (kg)</t>
  </si>
  <si>
    <t>height (cm)</t>
  </si>
  <si>
    <t>Added size &amp; weight descriptions</t>
  </si>
  <si>
    <t>Mountain / Shield Dwarf Dwarf</t>
  </si>
  <si>
    <t>http://www.angelfire.com/rpg2/legacyoffate/races/</t>
  </si>
  <si>
    <t>Added another racial description link</t>
  </si>
  <si>
    <t>N4</t>
  </si>
  <si>
    <t>Lisää roduista ja niiden kuvauksia:</t>
  </si>
  <si>
    <t>1.113</t>
  </si>
  <si>
    <t>Fixed missing Adolescence Rank (Region Lore: 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</si>
</sst>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dd\.mm\.yy"/>
    <numFmt numFmtId="167" formatCode="0.0000"/>
  </numFmts>
  <fonts count="31" x14ac:knownFonts="1">
    <font>
      <sz val="10"/>
      <name val="Arial"/>
      <family val="2"/>
    </font>
    <font>
      <sz val="10"/>
      <color indexed="8"/>
      <name val="Arial"/>
      <family val="2"/>
      <charset val="1"/>
    </font>
    <font>
      <sz val="8"/>
      <color indexed="8"/>
      <name val="Arial"/>
      <family val="2"/>
      <charset val="1"/>
    </font>
    <font>
      <b/>
      <sz val="8"/>
      <color indexed="8"/>
      <name val="Arial"/>
      <family val="2"/>
      <charset val="1"/>
    </font>
    <font>
      <u/>
      <sz val="8"/>
      <color indexed="12"/>
      <name val="Arial"/>
      <family val="2"/>
      <charset val="1"/>
    </font>
    <font>
      <u/>
      <sz val="10"/>
      <color indexed="12"/>
      <name val="Arial"/>
      <family val="2"/>
      <charset val="1"/>
    </font>
    <font>
      <i/>
      <sz val="8"/>
      <color indexed="8"/>
      <name val="Arial"/>
      <family val="2"/>
      <charset val="1"/>
    </font>
    <font>
      <u/>
      <sz val="8"/>
      <color indexed="8"/>
      <name val="Arial"/>
      <family val="2"/>
      <charset val="1"/>
    </font>
    <font>
      <sz val="8"/>
      <color indexed="12"/>
      <name val="Arial"/>
      <family val="2"/>
      <charset val="1"/>
    </font>
    <font>
      <sz val="8"/>
      <color indexed="8"/>
      <name val="Times New Roman"/>
      <family val="1"/>
      <charset val="1"/>
    </font>
    <font>
      <b/>
      <sz val="8"/>
      <color indexed="8"/>
      <name val="Times New Roman"/>
      <family val="1"/>
      <charset val="1"/>
    </font>
    <font>
      <i/>
      <sz val="8"/>
      <color indexed="8"/>
      <name val="Times New Roman"/>
      <family val="1"/>
      <charset val="1"/>
    </font>
    <font>
      <b/>
      <i/>
      <sz val="8"/>
      <color indexed="8"/>
      <name val="Times New Roman"/>
      <family val="1"/>
      <charset val="1"/>
    </font>
    <font>
      <u/>
      <sz val="8"/>
      <color indexed="8"/>
      <name val="Times New Roman"/>
      <family val="1"/>
      <charset val="1"/>
    </font>
    <font>
      <sz val="10"/>
      <color indexed="8"/>
      <name val="Times New Roman"/>
      <family val="1"/>
      <charset val="1"/>
    </font>
    <font>
      <sz val="7"/>
      <color indexed="8"/>
      <name val="Arial"/>
      <family val="2"/>
      <charset val="1"/>
    </font>
    <font>
      <b/>
      <sz val="7"/>
      <color indexed="8"/>
      <name val="Arial"/>
      <family val="2"/>
      <charset val="1"/>
    </font>
    <font>
      <i/>
      <sz val="7"/>
      <color indexed="8"/>
      <name val="Arial"/>
      <family val="2"/>
      <charset val="1"/>
    </font>
    <font>
      <u/>
      <sz val="7"/>
      <color indexed="8"/>
      <name val="Arial"/>
      <family val="2"/>
      <charset val="1"/>
    </font>
    <font>
      <vertAlign val="superscript"/>
      <sz val="7"/>
      <color indexed="8"/>
      <name val="Arial"/>
      <family val="2"/>
      <charset val="1"/>
    </font>
    <font>
      <vertAlign val="superscript"/>
      <sz val="10"/>
      <color indexed="8"/>
      <name val="Arial"/>
      <family val="2"/>
      <charset val="1"/>
    </font>
    <font>
      <sz val="7"/>
      <color rgb="FF000000"/>
      <name val="Arial"/>
      <family val="2"/>
    </font>
    <font>
      <sz val="8"/>
      <name val="Arial"/>
      <family val="2"/>
    </font>
    <font>
      <b/>
      <sz val="8"/>
      <name val="Arial"/>
      <family val="2"/>
    </font>
    <font>
      <sz val="7"/>
      <color indexed="8"/>
      <name val="Arial"/>
      <family val="2"/>
    </font>
    <font>
      <b/>
      <sz val="7"/>
      <color indexed="8"/>
      <name val="Arial"/>
      <family val="2"/>
    </font>
    <font>
      <i/>
      <sz val="8"/>
      <color indexed="8"/>
      <name val="Times New Roman"/>
      <family val="1"/>
    </font>
    <font>
      <b/>
      <sz val="8"/>
      <color indexed="8"/>
      <name val="Arial"/>
      <family val="2"/>
    </font>
    <font>
      <sz val="8"/>
      <color indexed="8"/>
      <name val="Arial"/>
      <family val="2"/>
    </font>
    <font>
      <b/>
      <sz val="8"/>
      <color indexed="8"/>
      <name val="Times New Roman"/>
      <family val="1"/>
    </font>
    <font>
      <sz val="8"/>
      <color indexed="8"/>
      <name val="Times New Roman"/>
      <family val="1"/>
    </font>
  </fonts>
  <fills count="11">
    <fill>
      <patternFill patternType="none"/>
    </fill>
    <fill>
      <patternFill patternType="gray125"/>
    </fill>
    <fill>
      <patternFill patternType="solid">
        <fgColor indexed="42"/>
        <bgColor indexed="47"/>
      </patternFill>
    </fill>
    <fill>
      <patternFill patternType="solid">
        <fgColor indexed="47"/>
        <bgColor indexed="42"/>
      </patternFill>
    </fill>
    <fill>
      <patternFill patternType="solid">
        <fgColor indexed="41"/>
        <bgColor indexed="42"/>
      </patternFill>
    </fill>
    <fill>
      <patternFill patternType="solid">
        <fgColor indexed="9"/>
        <bgColor indexed="26"/>
      </patternFill>
    </fill>
    <fill>
      <patternFill patternType="solid">
        <fgColor indexed="26"/>
        <bgColor indexed="9"/>
      </patternFill>
    </fill>
    <fill>
      <patternFill patternType="solid">
        <fgColor indexed="10"/>
        <bgColor indexed="60"/>
      </patternFill>
    </fill>
    <fill>
      <patternFill patternType="solid">
        <fgColor indexed="27"/>
        <bgColor indexed="41"/>
      </patternFill>
    </fill>
    <fill>
      <patternFill patternType="solid">
        <fgColor indexed="31"/>
        <bgColor indexed="47"/>
      </patternFill>
    </fill>
    <fill>
      <patternFill patternType="solid">
        <fgColor theme="0" tint="-0.14999847407452621"/>
        <bgColor indexed="64"/>
      </patternFill>
    </fill>
  </fills>
  <borders count="53">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ck">
        <color indexed="8"/>
      </left>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top style="thick">
        <color indexed="8"/>
      </top>
      <bottom style="thin">
        <color indexed="8"/>
      </bottom>
      <diagonal/>
    </border>
    <border>
      <left style="thin">
        <color indexed="8"/>
      </left>
      <right/>
      <top style="thick">
        <color indexed="8"/>
      </top>
      <bottom style="medium">
        <color indexed="8"/>
      </bottom>
      <diagonal/>
    </border>
    <border>
      <left style="thin">
        <color indexed="8"/>
      </left>
      <right style="thin">
        <color indexed="8"/>
      </right>
      <top style="thick">
        <color indexed="8"/>
      </top>
      <bottom style="medium">
        <color indexed="8"/>
      </bottom>
      <diagonal/>
    </border>
    <border>
      <left style="thin">
        <color indexed="8"/>
      </left>
      <right style="thick">
        <color indexed="8"/>
      </right>
      <top style="thick">
        <color indexed="8"/>
      </top>
      <bottom style="thin">
        <color indexed="8"/>
      </bottom>
      <diagonal/>
    </border>
    <border>
      <left style="thick">
        <color indexed="8"/>
      </left>
      <right/>
      <top style="thick">
        <color indexed="8"/>
      </top>
      <bottom style="thick">
        <color indexed="8"/>
      </bottom>
      <diagonal/>
    </border>
    <border>
      <left style="thin">
        <color indexed="8"/>
      </left>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bottom/>
      <diagonal/>
    </border>
    <border>
      <left style="thick">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ck">
        <color indexed="8"/>
      </right>
      <top style="medium">
        <color indexed="8"/>
      </top>
      <bottom style="thin">
        <color indexed="8"/>
      </bottom>
      <diagonal/>
    </border>
    <border>
      <left style="thick">
        <color indexed="8"/>
      </left>
      <right/>
      <top style="thin">
        <color indexed="8"/>
      </top>
      <bottom/>
      <diagonal/>
    </border>
    <border>
      <left style="thick">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5" fillId="0" borderId="0"/>
  </cellStyleXfs>
  <cellXfs count="313">
    <xf numFmtId="0" fontId="0" fillId="0" borderId="0" xfId="0"/>
    <xf numFmtId="49" fontId="2" fillId="0" borderId="0" xfId="3" applyNumberFormat="1" applyFont="1" applyFill="1" applyBorder="1" applyAlignment="1" applyProtection="1"/>
    <xf numFmtId="0" fontId="2" fillId="0" borderId="0" xfId="3" applyNumberFormat="1" applyFont="1" applyFill="1" applyBorder="1" applyAlignment="1" applyProtection="1"/>
    <xf numFmtId="0" fontId="3" fillId="0" borderId="0" xfId="3" applyNumberFormat="1" applyFont="1" applyFill="1" applyBorder="1" applyAlignment="1" applyProtection="1"/>
    <xf numFmtId="0" fontId="2" fillId="0" borderId="0" xfId="1" applyFont="1"/>
    <xf numFmtId="0" fontId="4" fillId="0" borderId="0" xfId="4" applyNumberFormat="1" applyFont="1" applyFill="1" applyBorder="1" applyAlignment="1" applyProtection="1"/>
    <xf numFmtId="49" fontId="2" fillId="2" borderId="0" xfId="3" applyNumberFormat="1" applyFont="1" applyFill="1" applyBorder="1" applyAlignment="1" applyProtection="1"/>
    <xf numFmtId="0" fontId="2" fillId="2" borderId="0" xfId="3" applyNumberFormat="1" applyFont="1" applyFill="1" applyBorder="1" applyAlignment="1" applyProtection="1"/>
    <xf numFmtId="0" fontId="6" fillId="0" borderId="0" xfId="3" applyNumberFormat="1" applyFont="1" applyFill="1" applyBorder="1" applyAlignment="1" applyProtection="1"/>
    <xf numFmtId="0" fontId="7" fillId="0" borderId="0" xfId="3" applyNumberFormat="1" applyFont="1" applyFill="1" applyBorder="1" applyAlignment="1" applyProtection="1"/>
    <xf numFmtId="0" fontId="8" fillId="0" borderId="0" xfId="3" applyNumberFormat="1" applyFont="1" applyFill="1" applyBorder="1" applyAlignment="1" applyProtection="1"/>
    <xf numFmtId="0" fontId="9" fillId="0" borderId="1" xfId="3" applyNumberFormat="1" applyFont="1" applyFill="1" applyBorder="1" applyAlignment="1" applyProtection="1"/>
    <xf numFmtId="0" fontId="9" fillId="0" borderId="0" xfId="3" applyNumberFormat="1" applyFont="1" applyFill="1" applyBorder="1" applyAlignment="1" applyProtection="1"/>
    <xf numFmtId="0" fontId="9" fillId="0" borderId="0" xfId="1" applyFont="1"/>
    <xf numFmtId="0" fontId="10" fillId="2" borderId="2" xfId="3" applyNumberFormat="1" applyFont="1" applyFill="1" applyBorder="1" applyAlignment="1" applyProtection="1"/>
    <xf numFmtId="0" fontId="9" fillId="0" borderId="2" xfId="1" applyFont="1" applyBorder="1" applyAlignment="1">
      <alignment horizontal="center"/>
    </xf>
    <xf numFmtId="0" fontId="10" fillId="3" borderId="2" xfId="3" applyNumberFormat="1" applyFont="1" applyFill="1" applyBorder="1" applyAlignment="1" applyProtection="1"/>
    <xf numFmtId="0" fontId="10" fillId="3" borderId="2" xfId="3" applyNumberFormat="1" applyFont="1" applyFill="1" applyBorder="1" applyAlignment="1" applyProtection="1">
      <alignment horizontal="center"/>
    </xf>
    <xf numFmtId="0" fontId="10" fillId="0" borderId="3" xfId="3" applyNumberFormat="1" applyFont="1" applyFill="1" applyBorder="1" applyAlignment="1" applyProtection="1"/>
    <xf numFmtId="0" fontId="9" fillId="0" borderId="5" xfId="3" applyNumberFormat="1" applyFont="1" applyFill="1" applyBorder="1" applyAlignment="1" applyProtection="1"/>
    <xf numFmtId="0" fontId="9" fillId="0" borderId="2" xfId="3" applyNumberFormat="1" applyFont="1" applyFill="1" applyBorder="1" applyAlignment="1" applyProtection="1">
      <alignment horizontal="left"/>
    </xf>
    <xf numFmtId="0" fontId="9" fillId="0" borderId="2" xfId="3" applyNumberFormat="1" applyFont="1" applyFill="1" applyBorder="1" applyAlignment="1" applyProtection="1">
      <alignment horizontal="center"/>
    </xf>
    <xf numFmtId="0" fontId="9" fillId="0" borderId="0" xfId="3" applyNumberFormat="1" applyFont="1" applyFill="1" applyBorder="1" applyAlignment="1" applyProtection="1">
      <alignment horizontal="center"/>
    </xf>
    <xf numFmtId="0" fontId="10" fillId="0" borderId="1" xfId="3" applyNumberFormat="1" applyFont="1" applyFill="1" applyBorder="1" applyAlignment="1" applyProtection="1"/>
    <xf numFmtId="0" fontId="9" fillId="2" borderId="0" xfId="3" applyNumberFormat="1" applyFont="1" applyFill="1" applyBorder="1" applyAlignment="1" applyProtection="1">
      <alignment horizontal="center"/>
    </xf>
    <xf numFmtId="0" fontId="9" fillId="0" borderId="6" xfId="3" applyNumberFormat="1" applyFont="1" applyFill="1" applyBorder="1" applyAlignment="1" applyProtection="1"/>
    <xf numFmtId="2" fontId="9" fillId="0" borderId="7" xfId="3" applyNumberFormat="1" applyFont="1" applyFill="1" applyBorder="1" applyAlignment="1" applyProtection="1">
      <alignment horizontal="center"/>
    </xf>
    <xf numFmtId="0" fontId="9" fillId="0" borderId="7" xfId="3" applyNumberFormat="1" applyFont="1" applyFill="1" applyBorder="1" applyAlignment="1" applyProtection="1"/>
    <xf numFmtId="0" fontId="10" fillId="2" borderId="2" xfId="3" applyNumberFormat="1" applyFont="1" applyFill="1" applyBorder="1" applyAlignment="1" applyProtection="1">
      <alignment horizontal="left"/>
    </xf>
    <xf numFmtId="2" fontId="9" fillId="0" borderId="2" xfId="3" applyNumberFormat="1" applyFont="1" applyFill="1" applyBorder="1" applyAlignment="1" applyProtection="1">
      <alignment horizontal="center"/>
    </xf>
    <xf numFmtId="0" fontId="10" fillId="0" borderId="8" xfId="3" applyNumberFormat="1" applyFont="1" applyFill="1" applyBorder="1" applyAlignment="1" applyProtection="1"/>
    <xf numFmtId="0" fontId="9" fillId="0" borderId="7" xfId="3" applyNumberFormat="1" applyFont="1" applyFill="1" applyBorder="1" applyAlignment="1" applyProtection="1">
      <alignment horizontal="center"/>
    </xf>
    <xf numFmtId="164" fontId="9" fillId="0" borderId="7" xfId="3" applyNumberFormat="1" applyFont="1" applyFill="1" applyBorder="1" applyAlignment="1" applyProtection="1">
      <alignment horizontal="center"/>
    </xf>
    <xf numFmtId="0" fontId="9" fillId="0" borderId="0" xfId="3" applyNumberFormat="1" applyFont="1" applyFill="1" applyBorder="1" applyAlignment="1" applyProtection="1">
      <alignment horizontal="left"/>
    </xf>
    <xf numFmtId="0" fontId="9" fillId="2" borderId="2" xfId="3" applyNumberFormat="1" applyFont="1" applyFill="1" applyBorder="1" applyAlignment="1" applyProtection="1">
      <alignment horizontal="left"/>
    </xf>
    <xf numFmtId="0" fontId="10" fillId="2" borderId="10" xfId="3" applyNumberFormat="1" applyFont="1" applyFill="1" applyBorder="1" applyAlignment="1" applyProtection="1">
      <alignment horizontal="left"/>
    </xf>
    <xf numFmtId="0" fontId="9" fillId="0" borderId="3" xfId="3" applyNumberFormat="1" applyFont="1" applyFill="1" applyBorder="1" applyAlignment="1" applyProtection="1">
      <alignment horizontal="right"/>
    </xf>
    <xf numFmtId="0" fontId="9" fillId="2" borderId="11" xfId="3" applyNumberFormat="1" applyFont="1" applyFill="1" applyBorder="1" applyAlignment="1" applyProtection="1">
      <alignment horizontal="center"/>
    </xf>
    <xf numFmtId="0" fontId="9" fillId="0" borderId="2" xfId="3" applyNumberFormat="1" applyFont="1" applyFill="1" applyBorder="1" applyAlignment="1" applyProtection="1"/>
    <xf numFmtId="0" fontId="9" fillId="0" borderId="1" xfId="3" applyNumberFormat="1" applyFont="1" applyFill="1" applyBorder="1" applyAlignment="1" applyProtection="1">
      <alignment horizontal="right"/>
    </xf>
    <xf numFmtId="0" fontId="9" fillId="2" borderId="12" xfId="3" applyNumberFormat="1" applyFont="1" applyFill="1" applyBorder="1" applyAlignment="1" applyProtection="1">
      <alignment horizontal="center"/>
    </xf>
    <xf numFmtId="0" fontId="9" fillId="0" borderId="8" xfId="3" applyNumberFormat="1" applyFont="1" applyFill="1" applyBorder="1" applyAlignment="1" applyProtection="1">
      <alignment horizontal="right"/>
    </xf>
    <xf numFmtId="0" fontId="9" fillId="2" borderId="13" xfId="3" applyNumberFormat="1" applyFont="1" applyFill="1" applyBorder="1" applyAlignment="1" applyProtection="1">
      <alignment horizontal="center"/>
    </xf>
    <xf numFmtId="0" fontId="9" fillId="0" borderId="9" xfId="3" applyNumberFormat="1" applyFont="1" applyFill="1" applyBorder="1" applyAlignment="1" applyProtection="1"/>
    <xf numFmtId="0" fontId="9" fillId="0" borderId="12" xfId="3" applyNumberFormat="1" applyFont="1" applyFill="1" applyBorder="1" applyAlignment="1" applyProtection="1"/>
    <xf numFmtId="0" fontId="10" fillId="0" borderId="0" xfId="3" applyNumberFormat="1" applyFont="1" applyFill="1" applyBorder="1" applyAlignment="1" applyProtection="1"/>
    <xf numFmtId="0" fontId="10" fillId="3" borderId="14" xfId="3" applyNumberFormat="1" applyFont="1" applyFill="1" applyBorder="1" applyAlignment="1" applyProtection="1">
      <alignment horizontal="center"/>
    </xf>
    <xf numFmtId="0" fontId="10" fillId="2" borderId="15" xfId="3" applyNumberFormat="1" applyFont="1" applyFill="1" applyBorder="1" applyAlignment="1" applyProtection="1">
      <alignment horizontal="center"/>
    </xf>
    <xf numFmtId="0" fontId="10" fillId="2" borderId="2" xfId="3" applyNumberFormat="1" applyFont="1" applyFill="1" applyBorder="1" applyAlignment="1" applyProtection="1">
      <alignment horizontal="center"/>
    </xf>
    <xf numFmtId="0" fontId="10" fillId="2" borderId="10" xfId="3" applyNumberFormat="1" applyFont="1" applyFill="1" applyBorder="1" applyAlignment="1" applyProtection="1">
      <alignment horizontal="center"/>
    </xf>
    <xf numFmtId="0" fontId="9" fillId="0" borderId="4" xfId="3" applyNumberFormat="1" applyFont="1" applyFill="1" applyBorder="1" applyAlignment="1" applyProtection="1"/>
    <xf numFmtId="0" fontId="10" fillId="0" borderId="2" xfId="3" applyNumberFormat="1" applyFont="1" applyFill="1" applyBorder="1" applyAlignment="1" applyProtection="1"/>
    <xf numFmtId="0" fontId="10" fillId="0" borderId="2" xfId="3" applyNumberFormat="1" applyFont="1" applyFill="1" applyBorder="1" applyAlignment="1" applyProtection="1">
      <alignment horizontal="center"/>
    </xf>
    <xf numFmtId="164" fontId="9" fillId="0" borderId="2" xfId="3" applyNumberFormat="1" applyFont="1" applyFill="1" applyBorder="1" applyAlignment="1" applyProtection="1">
      <alignment horizontal="center"/>
    </xf>
    <xf numFmtId="0" fontId="9" fillId="0" borderId="14" xfId="3" applyNumberFormat="1" applyFont="1" applyFill="1" applyBorder="1" applyAlignment="1" applyProtection="1">
      <alignment horizontal="center"/>
    </xf>
    <xf numFmtId="0" fontId="9" fillId="4" borderId="1" xfId="3" applyNumberFormat="1" applyFont="1" applyFill="1" applyBorder="1" applyAlignment="1" applyProtection="1">
      <alignment horizontal="center"/>
    </xf>
    <xf numFmtId="0" fontId="9" fillId="0" borderId="12" xfId="3" applyNumberFormat="1" applyFont="1" applyFill="1" applyBorder="1" applyAlignment="1" applyProtection="1">
      <alignment horizontal="center"/>
    </xf>
    <xf numFmtId="0" fontId="9" fillId="2" borderId="6" xfId="3" applyNumberFormat="1" applyFont="1" applyFill="1" applyBorder="1" applyAlignment="1" applyProtection="1">
      <alignment horizontal="center"/>
    </xf>
    <xf numFmtId="0" fontId="9" fillId="4" borderId="8" xfId="3" applyNumberFormat="1" applyFont="1" applyFill="1" applyBorder="1" applyAlignment="1" applyProtection="1">
      <alignment horizontal="center"/>
    </xf>
    <xf numFmtId="0" fontId="9" fillId="0" borderId="13" xfId="3" applyNumberFormat="1" applyFont="1" applyFill="1" applyBorder="1" applyAlignment="1" applyProtection="1">
      <alignment horizontal="center"/>
    </xf>
    <xf numFmtId="0" fontId="9" fillId="2" borderId="9" xfId="3" applyNumberFormat="1" applyFont="1" applyFill="1" applyBorder="1" applyAlignment="1" applyProtection="1">
      <alignment horizontal="center"/>
    </xf>
    <xf numFmtId="1" fontId="9" fillId="0" borderId="0" xfId="3" applyNumberFormat="1" applyFont="1" applyFill="1" applyBorder="1" applyAlignment="1" applyProtection="1">
      <alignment horizontal="center"/>
    </xf>
    <xf numFmtId="0" fontId="10" fillId="3" borderId="15" xfId="3" applyNumberFormat="1" applyFont="1" applyFill="1" applyBorder="1" applyAlignment="1" applyProtection="1"/>
    <xf numFmtId="0" fontId="9" fillId="3" borderId="14" xfId="3" applyNumberFormat="1" applyFont="1" applyFill="1" applyBorder="1" applyAlignment="1" applyProtection="1"/>
    <xf numFmtId="0" fontId="9" fillId="3" borderId="2" xfId="3" applyNumberFormat="1" applyFont="1" applyFill="1" applyBorder="1" applyAlignment="1" applyProtection="1">
      <alignment horizontal="center"/>
    </xf>
    <xf numFmtId="0" fontId="10" fillId="0" borderId="0" xfId="3" applyNumberFormat="1" applyFont="1" applyFill="1" applyBorder="1" applyAlignment="1" applyProtection="1">
      <alignment horizontal="center"/>
    </xf>
    <xf numFmtId="2" fontId="9" fillId="0" borderId="0" xfId="3" applyNumberFormat="1" applyFont="1" applyFill="1" applyBorder="1" applyAlignment="1" applyProtection="1"/>
    <xf numFmtId="0" fontId="10" fillId="2" borderId="0" xfId="3" applyNumberFormat="1" applyFont="1" applyFill="1" applyBorder="1" applyAlignment="1" applyProtection="1"/>
    <xf numFmtId="0" fontId="3" fillId="2" borderId="0" xfId="3" applyNumberFormat="1" applyFont="1" applyFill="1" applyBorder="1" applyAlignment="1" applyProtection="1"/>
    <xf numFmtId="1" fontId="9" fillId="0" borderId="0" xfId="2" applyNumberFormat="1" applyFont="1" applyFill="1" applyBorder="1" applyAlignment="1" applyProtection="1"/>
    <xf numFmtId="49" fontId="9" fillId="0" borderId="0" xfId="3" applyNumberFormat="1" applyFont="1" applyFill="1" applyBorder="1" applyAlignment="1" applyProtection="1"/>
    <xf numFmtId="0" fontId="10" fillId="3" borderId="15" xfId="3" applyNumberFormat="1" applyFont="1" applyFill="1" applyBorder="1" applyAlignment="1" applyProtection="1">
      <alignment horizontal="center"/>
    </xf>
    <xf numFmtId="3" fontId="9" fillId="5" borderId="8" xfId="3" applyNumberFormat="1" applyFont="1" applyFill="1" applyBorder="1" applyAlignment="1" applyProtection="1">
      <alignment horizontal="center"/>
    </xf>
    <xf numFmtId="0" fontId="10" fillId="5" borderId="7" xfId="3" applyNumberFormat="1" applyFont="1" applyFill="1" applyBorder="1" applyAlignment="1" applyProtection="1">
      <alignment horizontal="center"/>
    </xf>
    <xf numFmtId="0" fontId="10" fillId="5" borderId="2" xfId="3" applyNumberFormat="1" applyFont="1" applyFill="1" applyBorder="1" applyAlignment="1" applyProtection="1">
      <alignment horizontal="center"/>
    </xf>
    <xf numFmtId="3" fontId="9" fillId="0" borderId="8" xfId="3" applyNumberFormat="1" applyFont="1" applyFill="1" applyBorder="1" applyAlignment="1" applyProtection="1">
      <alignment horizontal="center"/>
    </xf>
    <xf numFmtId="1" fontId="9" fillId="0" borderId="2" xfId="3" applyNumberFormat="1" applyFont="1" applyFill="1" applyBorder="1" applyAlignment="1" applyProtection="1">
      <alignment horizontal="center"/>
    </xf>
    <xf numFmtId="1" fontId="9" fillId="0" borderId="0" xfId="3" applyNumberFormat="1" applyFont="1" applyFill="1" applyBorder="1" applyAlignment="1" applyProtection="1"/>
    <xf numFmtId="1" fontId="10" fillId="0" borderId="1" xfId="3" applyNumberFormat="1" applyFont="1" applyFill="1" applyBorder="1" applyAlignment="1" applyProtection="1">
      <alignment horizontal="center"/>
    </xf>
    <xf numFmtId="0" fontId="9" fillId="0" borderId="14" xfId="3" applyNumberFormat="1" applyFont="1" applyFill="1" applyBorder="1" applyAlignment="1" applyProtection="1">
      <alignment horizontal="left"/>
    </xf>
    <xf numFmtId="0" fontId="9" fillId="0" borderId="14" xfId="3" applyNumberFormat="1" applyFont="1" applyFill="1" applyBorder="1" applyAlignment="1" applyProtection="1"/>
    <xf numFmtId="0" fontId="10" fillId="3" borderId="3" xfId="3" applyNumberFormat="1" applyFont="1" applyFill="1" applyBorder="1" applyAlignment="1" applyProtection="1"/>
    <xf numFmtId="0" fontId="9" fillId="2" borderId="4" xfId="3" applyNumberFormat="1" applyFont="1" applyFill="1" applyBorder="1" applyAlignment="1" applyProtection="1"/>
    <xf numFmtId="0" fontId="9" fillId="2" borderId="10" xfId="3" applyNumberFormat="1" applyFont="1" applyFill="1" applyBorder="1" applyAlignment="1" applyProtection="1"/>
    <xf numFmtId="0" fontId="10" fillId="0" borderId="5" xfId="3" applyNumberFormat="1" applyFont="1" applyFill="1" applyBorder="1" applyAlignment="1" applyProtection="1">
      <alignment horizontal="center"/>
    </xf>
    <xf numFmtId="0" fontId="10" fillId="3" borderId="8" xfId="3" applyNumberFormat="1" applyFont="1" applyFill="1" applyBorder="1" applyAlignment="1" applyProtection="1"/>
    <xf numFmtId="0" fontId="10" fillId="3" borderId="7" xfId="3" applyNumberFormat="1" applyFont="1" applyFill="1" applyBorder="1" applyAlignment="1" applyProtection="1"/>
    <xf numFmtId="0" fontId="10" fillId="3" borderId="0" xfId="3" applyNumberFormat="1" applyFont="1" applyFill="1" applyBorder="1" applyAlignment="1" applyProtection="1"/>
    <xf numFmtId="0" fontId="10" fillId="3" borderId="10" xfId="3" applyNumberFormat="1" applyFont="1" applyFill="1" applyBorder="1" applyAlignment="1" applyProtection="1"/>
    <xf numFmtId="0" fontId="10" fillId="3" borderId="9" xfId="3" applyNumberFormat="1" applyFont="1" applyFill="1" applyBorder="1" applyAlignment="1" applyProtection="1"/>
    <xf numFmtId="0" fontId="9" fillId="0" borderId="15" xfId="3" applyNumberFormat="1" applyFont="1" applyFill="1" applyBorder="1" applyAlignment="1" applyProtection="1"/>
    <xf numFmtId="0" fontId="9" fillId="0" borderId="15" xfId="3" applyNumberFormat="1" applyFont="1" applyFill="1" applyBorder="1" applyAlignment="1" applyProtection="1">
      <alignment horizontal="center"/>
    </xf>
    <xf numFmtId="0" fontId="9" fillId="0" borderId="8" xfId="3" applyNumberFormat="1" applyFont="1" applyFill="1" applyBorder="1" applyAlignment="1" applyProtection="1"/>
    <xf numFmtId="0" fontId="9" fillId="0" borderId="7" xfId="3" applyNumberFormat="1" applyFont="1" applyFill="1" applyBorder="1" applyAlignment="1" applyProtection="1">
      <alignment horizontal="right"/>
    </xf>
    <xf numFmtId="49" fontId="9" fillId="0" borderId="8" xfId="3" applyNumberFormat="1" applyFont="1" applyFill="1" applyBorder="1" applyAlignment="1" applyProtection="1">
      <alignment horizontal="center"/>
    </xf>
    <xf numFmtId="0" fontId="9" fillId="0" borderId="14" xfId="3" applyNumberFormat="1" applyFont="1" applyFill="1" applyBorder="1" applyAlignment="1" applyProtection="1">
      <alignment horizontal="right"/>
    </xf>
    <xf numFmtId="0" fontId="9" fillId="0" borderId="8" xfId="3" applyNumberFormat="1" applyFont="1" applyFill="1" applyBorder="1" applyAlignment="1" applyProtection="1">
      <alignment horizontal="center"/>
    </xf>
    <xf numFmtId="0" fontId="9" fillId="0" borderId="11" xfId="3" applyNumberFormat="1" applyFont="1" applyFill="1" applyBorder="1" applyAlignment="1" applyProtection="1">
      <alignment horizontal="center"/>
    </xf>
    <xf numFmtId="1" fontId="9" fillId="0" borderId="8" xfId="3" applyNumberFormat="1" applyFont="1" applyFill="1" applyBorder="1" applyAlignment="1" applyProtection="1">
      <alignment horizontal="center"/>
    </xf>
    <xf numFmtId="0" fontId="9" fillId="2" borderId="14" xfId="3" applyNumberFormat="1" applyFont="1" applyFill="1" applyBorder="1" applyAlignment="1" applyProtection="1">
      <alignment horizontal="center"/>
    </xf>
    <xf numFmtId="0" fontId="9" fillId="2" borderId="10" xfId="3" applyNumberFormat="1" applyFont="1" applyFill="1" applyBorder="1" applyAlignment="1" applyProtection="1">
      <alignment horizontal="center"/>
    </xf>
    <xf numFmtId="0" fontId="10" fillId="0" borderId="10" xfId="3" applyNumberFormat="1" applyFont="1" applyFill="1" applyBorder="1" applyAlignment="1" applyProtection="1">
      <alignment horizontal="center"/>
    </xf>
    <xf numFmtId="0" fontId="10" fillId="3" borderId="15" xfId="3" applyNumberFormat="1" applyFont="1" applyFill="1" applyBorder="1" applyAlignment="1" applyProtection="1">
      <alignment horizontal="left"/>
    </xf>
    <xf numFmtId="0" fontId="9" fillId="0" borderId="10" xfId="3" applyNumberFormat="1" applyFont="1" applyFill="1" applyBorder="1" applyAlignment="1" applyProtection="1"/>
    <xf numFmtId="0" fontId="10" fillId="0" borderId="15" xfId="3" applyNumberFormat="1" applyFont="1" applyFill="1" applyBorder="1" applyAlignment="1" applyProtection="1"/>
    <xf numFmtId="1" fontId="10" fillId="0" borderId="13" xfId="3" applyNumberFormat="1" applyFont="1" applyFill="1" applyBorder="1" applyAlignment="1" applyProtection="1">
      <alignment horizontal="center"/>
    </xf>
    <xf numFmtId="0" fontId="11" fillId="0" borderId="14" xfId="3" applyNumberFormat="1" applyFont="1" applyFill="1" applyBorder="1" applyAlignment="1" applyProtection="1"/>
    <xf numFmtId="0" fontId="10" fillId="2" borderId="3" xfId="3" applyNumberFormat="1" applyFont="1" applyFill="1" applyBorder="1" applyAlignment="1" applyProtection="1"/>
    <xf numFmtId="0" fontId="10" fillId="2" borderId="4" xfId="3" applyNumberFormat="1" applyFont="1" applyFill="1" applyBorder="1" applyAlignment="1" applyProtection="1"/>
    <xf numFmtId="0" fontId="10" fillId="2" borderId="5" xfId="3" applyNumberFormat="1" applyFont="1" applyFill="1" applyBorder="1" applyAlignment="1" applyProtection="1"/>
    <xf numFmtId="0" fontId="9" fillId="6" borderId="1" xfId="3" applyNumberFormat="1" applyFont="1" applyFill="1" applyBorder="1" applyAlignment="1" applyProtection="1"/>
    <xf numFmtId="0" fontId="9" fillId="3" borderId="4" xfId="3" applyNumberFormat="1" applyFont="1" applyFill="1" applyBorder="1" applyAlignment="1" applyProtection="1"/>
    <xf numFmtId="0" fontId="10" fillId="3" borderId="4" xfId="3" applyNumberFormat="1" applyFont="1" applyFill="1" applyBorder="1" applyAlignment="1" applyProtection="1">
      <alignment horizontal="left"/>
    </xf>
    <xf numFmtId="0" fontId="9" fillId="3" borderId="5" xfId="3" applyNumberFormat="1" applyFont="1" applyFill="1" applyBorder="1" applyAlignment="1" applyProtection="1"/>
    <xf numFmtId="0" fontId="9" fillId="0" borderId="7" xfId="1" applyFont="1" applyBorder="1"/>
    <xf numFmtId="0" fontId="9" fillId="0" borderId="0" xfId="1" applyFont="1" applyAlignment="1">
      <alignment horizontal="center"/>
    </xf>
    <xf numFmtId="0" fontId="10" fillId="2" borderId="15" xfId="3" applyNumberFormat="1" applyFont="1" applyFill="1" applyBorder="1" applyAlignment="1" applyProtection="1"/>
    <xf numFmtId="0" fontId="10" fillId="3" borderId="14" xfId="3" applyNumberFormat="1" applyFont="1" applyFill="1" applyBorder="1" applyAlignment="1" applyProtection="1"/>
    <xf numFmtId="0" fontId="10" fillId="2" borderId="3" xfId="1" applyFont="1" applyFill="1" applyBorder="1"/>
    <xf numFmtId="0" fontId="10" fillId="2" borderId="4" xfId="1" applyFont="1" applyFill="1" applyBorder="1"/>
    <xf numFmtId="0" fontId="10" fillId="2" borderId="5" xfId="1" applyFont="1" applyFill="1" applyBorder="1"/>
    <xf numFmtId="0" fontId="2" fillId="0" borderId="14" xfId="3" applyNumberFormat="1" applyFont="1" applyFill="1" applyBorder="1" applyAlignment="1" applyProtection="1"/>
    <xf numFmtId="0" fontId="2" fillId="0" borderId="2" xfId="3" applyNumberFormat="1" applyFont="1" applyFill="1" applyBorder="1" applyAlignment="1" applyProtection="1"/>
    <xf numFmtId="0" fontId="9" fillId="6" borderId="1" xfId="1" applyFont="1" applyFill="1" applyBorder="1"/>
    <xf numFmtId="0" fontId="9" fillId="0" borderId="6" xfId="1" applyFont="1" applyBorder="1"/>
    <xf numFmtId="0" fontId="2" fillId="0" borderId="10" xfId="3" applyNumberFormat="1" applyFont="1" applyFill="1" applyBorder="1" applyAlignment="1" applyProtection="1"/>
    <xf numFmtId="0" fontId="12" fillId="2" borderId="14" xfId="3" applyNumberFormat="1" applyFont="1" applyFill="1" applyBorder="1" applyAlignment="1" applyProtection="1"/>
    <xf numFmtId="0" fontId="10" fillId="2" borderId="14" xfId="3" applyNumberFormat="1" applyFont="1" applyFill="1" applyBorder="1" applyAlignment="1" applyProtection="1"/>
    <xf numFmtId="0" fontId="10" fillId="2" borderId="14" xfId="3" applyNumberFormat="1" applyFont="1" applyFill="1" applyBorder="1" applyAlignment="1" applyProtection="1">
      <alignment horizontal="center"/>
    </xf>
    <xf numFmtId="0" fontId="9" fillId="0" borderId="7" xfId="1" applyFont="1" applyBorder="1" applyAlignment="1">
      <alignment horizontal="center"/>
    </xf>
    <xf numFmtId="0" fontId="9" fillId="0" borderId="9" xfId="1" applyFont="1" applyBorder="1"/>
    <xf numFmtId="0" fontId="9" fillId="0" borderId="10" xfId="3" applyNumberFormat="1" applyFont="1" applyFill="1" applyBorder="1" applyAlignment="1" applyProtection="1">
      <alignment horizontal="center"/>
    </xf>
    <xf numFmtId="0" fontId="11" fillId="0" borderId="3" xfId="3" applyNumberFormat="1" applyFont="1" applyFill="1" applyBorder="1" applyAlignment="1" applyProtection="1"/>
    <xf numFmtId="0" fontId="11" fillId="0" borderId="4" xfId="3" applyNumberFormat="1" applyFont="1" applyFill="1" applyBorder="1" applyAlignment="1" applyProtection="1"/>
    <xf numFmtId="1" fontId="9" fillId="0" borderId="15" xfId="3" applyNumberFormat="1" applyFont="1" applyFill="1" applyBorder="1" applyAlignment="1" applyProtection="1">
      <alignment horizontal="center"/>
    </xf>
    <xf numFmtId="0" fontId="10" fillId="2" borderId="15" xfId="3" applyNumberFormat="1" applyFont="1" applyFill="1" applyBorder="1" applyAlignment="1" applyProtection="1">
      <alignment horizontal="left"/>
    </xf>
    <xf numFmtId="0" fontId="9" fillId="2" borderId="14" xfId="3" applyNumberFormat="1" applyFont="1" applyFill="1" applyBorder="1" applyAlignment="1" applyProtection="1"/>
    <xf numFmtId="0" fontId="11" fillId="0" borderId="7" xfId="3" applyNumberFormat="1" applyFont="1" applyFill="1" applyBorder="1" applyAlignment="1" applyProtection="1"/>
    <xf numFmtId="0" fontId="9" fillId="0" borderId="13" xfId="3" applyNumberFormat="1" applyFont="1" applyFill="1" applyBorder="1" applyAlignment="1" applyProtection="1"/>
    <xf numFmtId="0" fontId="9" fillId="0" borderId="9" xfId="3" applyNumberFormat="1" applyFont="1" applyFill="1" applyBorder="1" applyAlignment="1" applyProtection="1">
      <alignment horizontal="center"/>
    </xf>
    <xf numFmtId="2" fontId="10" fillId="2" borderId="14" xfId="3" applyNumberFormat="1" applyFont="1" applyFill="1" applyBorder="1" applyAlignment="1" applyProtection="1"/>
    <xf numFmtId="0" fontId="10" fillId="3" borderId="11" xfId="3" applyNumberFormat="1" applyFont="1" applyFill="1" applyBorder="1" applyAlignment="1" applyProtection="1"/>
    <xf numFmtId="0" fontId="10" fillId="3" borderId="11" xfId="3" applyNumberFormat="1" applyFont="1" applyFill="1" applyBorder="1" applyAlignment="1" applyProtection="1">
      <alignment horizontal="center"/>
    </xf>
    <xf numFmtId="3" fontId="10" fillId="3" borderId="11" xfId="3" applyNumberFormat="1" applyFont="1" applyFill="1" applyBorder="1" applyAlignment="1" applyProtection="1">
      <alignment horizontal="center"/>
    </xf>
    <xf numFmtId="1" fontId="10" fillId="3" borderId="11" xfId="3" applyNumberFormat="1" applyFont="1" applyFill="1" applyBorder="1" applyAlignment="1" applyProtection="1">
      <alignment horizontal="center"/>
    </xf>
    <xf numFmtId="0" fontId="10" fillId="0" borderId="11" xfId="3" applyNumberFormat="1" applyFont="1" applyFill="1" applyBorder="1" applyAlignment="1" applyProtection="1"/>
    <xf numFmtId="0" fontId="10" fillId="7" borderId="0" xfId="3" applyNumberFormat="1" applyFont="1" applyFill="1" applyBorder="1" applyAlignment="1" applyProtection="1">
      <alignment horizontal="left"/>
    </xf>
    <xf numFmtId="3" fontId="10" fillId="3" borderId="2" xfId="3" applyNumberFormat="1" applyFont="1" applyFill="1" applyBorder="1" applyAlignment="1" applyProtection="1">
      <alignment horizontal="center"/>
    </xf>
    <xf numFmtId="1" fontId="10" fillId="3" borderId="2" xfId="3" applyNumberFormat="1" applyFont="1" applyFill="1" applyBorder="1" applyAlignment="1" applyProtection="1">
      <alignment horizontal="center"/>
    </xf>
    <xf numFmtId="0" fontId="10" fillId="2" borderId="11" xfId="3" applyNumberFormat="1" applyFont="1" applyFill="1" applyBorder="1" applyAlignment="1" applyProtection="1"/>
    <xf numFmtId="0" fontId="10" fillId="2" borderId="7" xfId="3" applyNumberFormat="1" applyFont="1" applyFill="1" applyBorder="1" applyAlignment="1" applyProtection="1"/>
    <xf numFmtId="1" fontId="10" fillId="2" borderId="7" xfId="3" applyNumberFormat="1" applyFont="1" applyFill="1" applyBorder="1" applyAlignment="1" applyProtection="1"/>
    <xf numFmtId="0" fontId="10" fillId="0" borderId="0" xfId="1" applyFont="1"/>
    <xf numFmtId="0" fontId="9" fillId="2" borderId="2" xfId="3" applyNumberFormat="1" applyFont="1" applyFill="1" applyBorder="1" applyAlignment="1" applyProtection="1">
      <alignment horizontal="center"/>
    </xf>
    <xf numFmtId="0" fontId="10" fillId="0" borderId="0" xfId="3" applyNumberFormat="1" applyFont="1" applyFill="1" applyBorder="1" applyAlignment="1" applyProtection="1">
      <alignment horizontal="left"/>
    </xf>
    <xf numFmtId="0" fontId="9" fillId="0" borderId="11" xfId="3" applyNumberFormat="1" applyFont="1" applyFill="1" applyBorder="1" applyAlignment="1" applyProtection="1"/>
    <xf numFmtId="0" fontId="10" fillId="0" borderId="12" xfId="3" applyNumberFormat="1" applyFont="1" applyFill="1" applyBorder="1" applyAlignment="1" applyProtection="1"/>
    <xf numFmtId="0" fontId="11" fillId="2" borderId="11" xfId="3" applyNumberFormat="1" applyFont="1" applyFill="1" applyBorder="1" applyAlignment="1" applyProtection="1"/>
    <xf numFmtId="0" fontId="11" fillId="0" borderId="11" xfId="3" applyNumberFormat="1" applyFont="1" applyFill="1" applyBorder="1" applyAlignment="1" applyProtection="1"/>
    <xf numFmtId="0" fontId="11" fillId="0" borderId="12" xfId="3" applyNumberFormat="1" applyFont="1" applyFill="1" applyBorder="1" applyAlignment="1" applyProtection="1"/>
    <xf numFmtId="0" fontId="11" fillId="0" borderId="13" xfId="3" applyNumberFormat="1" applyFont="1" applyFill="1" applyBorder="1" applyAlignment="1" applyProtection="1"/>
    <xf numFmtId="0" fontId="9" fillId="0" borderId="0" xfId="3" applyNumberFormat="1" applyFont="1" applyFill="1" applyBorder="1" applyAlignment="1" applyProtection="1">
      <alignment horizontal="right"/>
    </xf>
    <xf numFmtId="0" fontId="10" fillId="2" borderId="8" xfId="3" applyNumberFormat="1" applyFont="1" applyFill="1" applyBorder="1" applyAlignment="1" applyProtection="1"/>
    <xf numFmtId="0" fontId="9" fillId="2" borderId="9" xfId="1" applyFont="1" applyFill="1" applyBorder="1"/>
    <xf numFmtId="0" fontId="11" fillId="0" borderId="2" xfId="3" applyNumberFormat="1" applyFont="1" applyFill="1" applyBorder="1" applyAlignment="1" applyProtection="1">
      <alignment horizontal="center"/>
    </xf>
    <xf numFmtId="0" fontId="11" fillId="0" borderId="2" xfId="3" applyNumberFormat="1" applyFont="1" applyFill="1" applyBorder="1" applyAlignment="1" applyProtection="1"/>
    <xf numFmtId="0" fontId="11" fillId="0" borderId="13" xfId="3" applyNumberFormat="1" applyFont="1" applyFill="1" applyBorder="1" applyAlignment="1" applyProtection="1">
      <alignment horizontal="center"/>
    </xf>
    <xf numFmtId="0" fontId="9" fillId="0" borderId="13" xfId="3" applyNumberFormat="1" applyFont="1" applyFill="1" applyBorder="1" applyAlignment="1" applyProtection="1">
      <alignment horizontal="left"/>
    </xf>
    <xf numFmtId="0" fontId="11" fillId="0" borderId="11" xfId="3" applyNumberFormat="1" applyFont="1" applyFill="1" applyBorder="1" applyAlignment="1" applyProtection="1">
      <alignment horizontal="center"/>
    </xf>
    <xf numFmtId="0" fontId="10" fillId="0" borderId="13" xfId="3" applyNumberFormat="1" applyFont="1" applyFill="1" applyBorder="1" applyAlignment="1" applyProtection="1">
      <alignment horizontal="center"/>
    </xf>
    <xf numFmtId="0" fontId="10" fillId="0" borderId="11" xfId="3" applyNumberFormat="1" applyFont="1" applyFill="1" applyBorder="1" applyAlignment="1" applyProtection="1">
      <alignment horizontal="center"/>
    </xf>
    <xf numFmtId="1" fontId="9" fillId="2" borderId="2" xfId="3" applyNumberFormat="1" applyFont="1" applyFill="1" applyBorder="1" applyAlignment="1" applyProtection="1">
      <alignment horizontal="center"/>
    </xf>
    <xf numFmtId="0" fontId="9" fillId="4" borderId="0" xfId="3" applyNumberFormat="1" applyFont="1" applyFill="1" applyBorder="1" applyAlignment="1" applyProtection="1"/>
    <xf numFmtId="0" fontId="14" fillId="0" borderId="0" xfId="3" applyNumberFormat="1" applyFont="1" applyFill="1" applyBorder="1" applyAlignment="1" applyProtection="1"/>
    <xf numFmtId="0" fontId="15" fillId="0" borderId="0" xfId="3" applyNumberFormat="1" applyFont="1" applyFill="1" applyBorder="1" applyAlignment="1" applyProtection="1"/>
    <xf numFmtId="0" fontId="16" fillId="0" borderId="2" xfId="3" applyNumberFormat="1" applyFont="1" applyFill="1" applyBorder="1" applyAlignment="1" applyProtection="1">
      <alignment horizontal="center"/>
    </xf>
    <xf numFmtId="0" fontId="15" fillId="0" borderId="16" xfId="3" applyNumberFormat="1" applyFont="1" applyFill="1" applyBorder="1" applyAlignment="1" applyProtection="1">
      <alignment horizontal="center" wrapText="1"/>
    </xf>
    <xf numFmtId="0" fontId="15" fillId="0" borderId="17" xfId="3" applyNumberFormat="1" applyFont="1" applyFill="1" applyBorder="1" applyAlignment="1" applyProtection="1">
      <alignment horizontal="center" wrapText="1"/>
    </xf>
    <xf numFmtId="0" fontId="15" fillId="0" borderId="18" xfId="3" applyNumberFormat="1" applyFont="1" applyFill="1" applyBorder="1" applyAlignment="1" applyProtection="1">
      <alignment horizontal="center" wrapText="1"/>
    </xf>
    <xf numFmtId="0" fontId="15" fillId="0" borderId="19" xfId="3" applyNumberFormat="1" applyFont="1" applyFill="1" applyBorder="1" applyAlignment="1" applyProtection="1">
      <alignment horizontal="center" wrapText="1"/>
    </xf>
    <xf numFmtId="0" fontId="15" fillId="0" borderId="20" xfId="3" applyNumberFormat="1" applyFont="1" applyFill="1" applyBorder="1" applyAlignment="1" applyProtection="1">
      <alignment horizontal="center" wrapText="1"/>
    </xf>
    <xf numFmtId="0" fontId="15" fillId="0" borderId="21" xfId="3" applyNumberFormat="1" applyFont="1" applyFill="1" applyBorder="1" applyAlignment="1" applyProtection="1">
      <alignment horizontal="center" wrapText="1"/>
    </xf>
    <xf numFmtId="0" fontId="16" fillId="0" borderId="0" xfId="3" applyNumberFormat="1" applyFont="1" applyFill="1" applyBorder="1" applyAlignment="1" applyProtection="1"/>
    <xf numFmtId="0" fontId="15" fillId="0" borderId="2" xfId="3" applyNumberFormat="1" applyFont="1" applyFill="1" applyBorder="1" applyAlignment="1" applyProtection="1">
      <alignment horizontal="center"/>
    </xf>
    <xf numFmtId="1" fontId="15" fillId="0" borderId="2" xfId="3" applyNumberFormat="1" applyFont="1" applyFill="1" applyBorder="1" applyAlignment="1" applyProtection="1">
      <alignment horizontal="center"/>
    </xf>
    <xf numFmtId="0" fontId="15" fillId="0" borderId="0" xfId="3" applyNumberFormat="1" applyFont="1" applyFill="1" applyBorder="1" applyAlignment="1" applyProtection="1">
      <alignment horizontal="center"/>
    </xf>
    <xf numFmtId="0" fontId="15" fillId="0" borderId="22" xfId="3" applyNumberFormat="1" applyFont="1" applyFill="1" applyBorder="1" applyAlignment="1" applyProtection="1">
      <alignment horizontal="center"/>
    </xf>
    <xf numFmtId="0" fontId="15" fillId="0" borderId="23" xfId="3" applyNumberFormat="1" applyFont="1" applyFill="1" applyBorder="1" applyAlignment="1" applyProtection="1">
      <alignment horizontal="center"/>
    </xf>
    <xf numFmtId="0" fontId="15" fillId="0" borderId="24" xfId="3" applyNumberFormat="1" applyFont="1" applyFill="1" applyBorder="1" applyAlignment="1" applyProtection="1">
      <alignment horizontal="center"/>
    </xf>
    <xf numFmtId="0" fontId="16" fillId="0" borderId="25" xfId="3" applyNumberFormat="1" applyFont="1" applyFill="1" applyBorder="1" applyAlignment="1" applyProtection="1"/>
    <xf numFmtId="49" fontId="15" fillId="0" borderId="0" xfId="3" applyNumberFormat="1" applyFont="1" applyFill="1" applyBorder="1" applyAlignment="1" applyProtection="1"/>
    <xf numFmtId="0" fontId="15" fillId="0" borderId="26" xfId="3" applyNumberFormat="1" applyFont="1" applyFill="1" applyBorder="1" applyAlignment="1" applyProtection="1">
      <alignment horizontal="center"/>
    </xf>
    <xf numFmtId="0" fontId="15" fillId="0" borderId="27" xfId="3" applyNumberFormat="1" applyFont="1" applyFill="1" applyBorder="1" applyAlignment="1" applyProtection="1">
      <alignment horizontal="center"/>
    </xf>
    <xf numFmtId="0" fontId="15" fillId="0" borderId="28" xfId="3" applyNumberFormat="1" applyFont="1" applyFill="1" applyBorder="1" applyAlignment="1" applyProtection="1">
      <alignment horizontal="center"/>
    </xf>
    <xf numFmtId="0" fontId="15" fillId="0" borderId="15" xfId="3" applyNumberFormat="1" applyFont="1" applyFill="1" applyBorder="1" applyAlignment="1" applyProtection="1">
      <alignment horizontal="center"/>
    </xf>
    <xf numFmtId="0" fontId="15" fillId="0" borderId="29" xfId="3" applyNumberFormat="1" applyFont="1" applyFill="1" applyBorder="1" applyAlignment="1" applyProtection="1">
      <alignment horizontal="center"/>
    </xf>
    <xf numFmtId="0" fontId="16" fillId="0" borderId="30" xfId="3" applyNumberFormat="1" applyFont="1" applyFill="1" applyBorder="1" applyAlignment="1" applyProtection="1"/>
    <xf numFmtId="0" fontId="15" fillId="0" borderId="31" xfId="3" applyNumberFormat="1" applyFont="1" applyFill="1" applyBorder="1" applyAlignment="1" applyProtection="1">
      <alignment horizontal="center"/>
    </xf>
    <xf numFmtId="0" fontId="15" fillId="0" borderId="32" xfId="3" applyNumberFormat="1" applyFont="1" applyFill="1" applyBorder="1" applyAlignment="1" applyProtection="1">
      <alignment horizontal="center"/>
    </xf>
    <xf numFmtId="0" fontId="16" fillId="4" borderId="25" xfId="3" applyNumberFormat="1" applyFont="1" applyFill="1" applyBorder="1" applyAlignment="1" applyProtection="1"/>
    <xf numFmtId="49" fontId="15" fillId="4" borderId="0" xfId="3" applyNumberFormat="1" applyFont="1" applyFill="1" applyBorder="1" applyAlignment="1" applyProtection="1"/>
    <xf numFmtId="0" fontId="15" fillId="4" borderId="0" xfId="3" applyNumberFormat="1" applyFont="1" applyFill="1" applyBorder="1" applyAlignment="1" applyProtection="1"/>
    <xf numFmtId="0" fontId="16" fillId="0" borderId="0" xfId="3" applyNumberFormat="1" applyFont="1" applyFill="1" applyBorder="1" applyAlignment="1" applyProtection="1">
      <alignment horizontal="center"/>
    </xf>
    <xf numFmtId="165" fontId="15" fillId="0" borderId="0" xfId="3" applyNumberFormat="1" applyFont="1" applyFill="1" applyBorder="1" applyAlignment="1" applyProtection="1"/>
    <xf numFmtId="2" fontId="15" fillId="0" borderId="0" xfId="3" applyNumberFormat="1" applyFont="1" applyFill="1" applyBorder="1" applyAlignment="1" applyProtection="1"/>
    <xf numFmtId="1" fontId="15" fillId="0" borderId="0" xfId="3" applyNumberFormat="1" applyFont="1" applyFill="1" applyBorder="1" applyAlignment="1" applyProtection="1"/>
    <xf numFmtId="0" fontId="15" fillId="0" borderId="0" xfId="3" applyNumberFormat="1" applyFont="1" applyFill="1" applyBorder="1" applyAlignment="1" applyProtection="1">
      <alignment horizontal="right"/>
    </xf>
    <xf numFmtId="49" fontId="15" fillId="0" borderId="0" xfId="3" applyNumberFormat="1" applyFont="1" applyFill="1" applyBorder="1" applyAlignment="1" applyProtection="1">
      <alignment horizontal="right"/>
    </xf>
    <xf numFmtId="0" fontId="17" fillId="0" borderId="0" xfId="3" applyNumberFormat="1" applyFont="1" applyFill="1" applyBorder="1" applyAlignment="1" applyProtection="1"/>
    <xf numFmtId="0" fontId="15" fillId="0" borderId="3" xfId="3" applyNumberFormat="1" applyFont="1" applyFill="1" applyBorder="1" applyAlignment="1" applyProtection="1"/>
    <xf numFmtId="0" fontId="15" fillId="0" borderId="4" xfId="3" applyNumberFormat="1" applyFont="1" applyFill="1" applyBorder="1" applyAlignment="1" applyProtection="1"/>
    <xf numFmtId="0" fontId="15" fillId="0" borderId="5" xfId="3" applyNumberFormat="1" applyFont="1" applyFill="1" applyBorder="1" applyAlignment="1" applyProtection="1"/>
    <xf numFmtId="0" fontId="15" fillId="0" borderId="1" xfId="3" applyNumberFormat="1" applyFont="1" applyFill="1" applyBorder="1" applyAlignment="1" applyProtection="1"/>
    <xf numFmtId="0" fontId="15" fillId="0" borderId="6" xfId="3" applyNumberFormat="1" applyFont="1" applyFill="1" applyBorder="1" applyAlignment="1" applyProtection="1"/>
    <xf numFmtId="0" fontId="15" fillId="0" borderId="8" xfId="3" applyNumberFormat="1" applyFont="1" applyFill="1" applyBorder="1" applyAlignment="1" applyProtection="1"/>
    <xf numFmtId="0" fontId="15" fillId="0" borderId="7" xfId="3" applyNumberFormat="1" applyFont="1" applyFill="1" applyBorder="1" applyAlignment="1" applyProtection="1"/>
    <xf numFmtId="0" fontId="15" fillId="0" borderId="9" xfId="3" applyNumberFormat="1" applyFont="1" applyFill="1" applyBorder="1" applyAlignment="1" applyProtection="1"/>
    <xf numFmtId="49" fontId="18" fillId="0" borderId="0" xfId="3" applyNumberFormat="1" applyFont="1" applyFill="1" applyBorder="1" applyAlignment="1" applyProtection="1">
      <alignment horizontal="right"/>
    </xf>
    <xf numFmtId="0" fontId="18" fillId="0" borderId="0" xfId="3" applyNumberFormat="1" applyFont="1" applyFill="1" applyBorder="1" applyAlignment="1" applyProtection="1"/>
    <xf numFmtId="0" fontId="15" fillId="0" borderId="0" xfId="3" applyNumberFormat="1" applyFont="1" applyFill="1" applyBorder="1" applyAlignment="1" applyProtection="1">
      <alignment horizontal="left"/>
    </xf>
    <xf numFmtId="0" fontId="15" fillId="0" borderId="0" xfId="1" applyFont="1"/>
    <xf numFmtId="49" fontId="16" fillId="0" borderId="0" xfId="3" applyNumberFormat="1" applyFont="1" applyFill="1" applyBorder="1" applyAlignment="1" applyProtection="1">
      <alignment horizontal="right"/>
    </xf>
    <xf numFmtId="166" fontId="15" fillId="0" borderId="0" xfId="3" applyNumberFormat="1" applyFont="1" applyFill="1" applyBorder="1" applyAlignment="1" applyProtection="1"/>
    <xf numFmtId="1" fontId="15" fillId="0" borderId="0" xfId="3" applyNumberFormat="1" applyFont="1" applyFill="1" applyBorder="1" applyAlignment="1" applyProtection="1">
      <alignment horizontal="center"/>
    </xf>
    <xf numFmtId="2" fontId="16" fillId="0" borderId="0" xfId="3" applyNumberFormat="1" applyFont="1" applyFill="1" applyBorder="1" applyAlignment="1" applyProtection="1"/>
    <xf numFmtId="167" fontId="15" fillId="0" borderId="0" xfId="3" applyNumberFormat="1" applyFont="1" applyFill="1" applyBorder="1" applyAlignment="1" applyProtection="1"/>
    <xf numFmtId="0" fontId="16" fillId="2" borderId="0" xfId="3" applyNumberFormat="1" applyFont="1" applyFill="1" applyBorder="1" applyAlignment="1" applyProtection="1"/>
    <xf numFmtId="0" fontId="3" fillId="9" borderId="0" xfId="1" applyFont="1" applyFill="1"/>
    <xf numFmtId="0" fontId="3" fillId="9" borderId="0" xfId="1" applyFont="1" applyFill="1" applyAlignment="1">
      <alignment horizontal="center"/>
    </xf>
    <xf numFmtId="0" fontId="9" fillId="6" borderId="33" xfId="3" applyNumberFormat="1" applyFont="1" applyFill="1" applyBorder="1" applyAlignment="1" applyProtection="1"/>
    <xf numFmtId="0" fontId="9" fillId="6" borderId="33" xfId="1" applyFont="1" applyFill="1" applyBorder="1"/>
    <xf numFmtId="1" fontId="10" fillId="0" borderId="2" xfId="3" applyNumberFormat="1" applyFont="1" applyFill="1" applyBorder="1" applyAlignment="1" applyProtection="1">
      <alignment horizontal="center"/>
    </xf>
    <xf numFmtId="0" fontId="21" fillId="0" borderId="0" xfId="1" applyFont="1" applyFill="1" applyAlignment="1"/>
    <xf numFmtId="0" fontId="21" fillId="0" borderId="0" xfId="1" quotePrefix="1" applyFont="1" applyFill="1" applyAlignment="1"/>
    <xf numFmtId="0" fontId="15" fillId="0" borderId="0" xfId="3" quotePrefix="1" applyNumberFormat="1" applyFont="1" applyFill="1" applyBorder="1" applyAlignment="1" applyProtection="1"/>
    <xf numFmtId="0" fontId="11" fillId="0" borderId="0" xfId="3" applyNumberFormat="1" applyFont="1" applyFill="1" applyBorder="1" applyAlignment="1" applyProtection="1"/>
    <xf numFmtId="0" fontId="15" fillId="0" borderId="14" xfId="3" applyNumberFormat="1" applyFont="1" applyFill="1" applyBorder="1" applyAlignment="1" applyProtection="1">
      <alignment horizontal="center"/>
    </xf>
    <xf numFmtId="0" fontId="15" fillId="0" borderId="11" xfId="3" applyNumberFormat="1" applyFont="1" applyFill="1" applyBorder="1" applyAlignment="1" applyProtection="1">
      <alignment horizontal="center"/>
    </xf>
    <xf numFmtId="0" fontId="15" fillId="0" borderId="34" xfId="3" applyNumberFormat="1" applyFont="1" applyFill="1" applyBorder="1" applyAlignment="1" applyProtection="1">
      <alignment horizontal="center"/>
    </xf>
    <xf numFmtId="0" fontId="11" fillId="2" borderId="34" xfId="3" applyNumberFormat="1" applyFont="1" applyFill="1" applyBorder="1" applyAlignment="1" applyProtection="1"/>
    <xf numFmtId="0" fontId="9" fillId="0" borderId="34" xfId="3" applyNumberFormat="1" applyFont="1" applyFill="1" applyBorder="1" applyAlignment="1" applyProtection="1"/>
    <xf numFmtId="0" fontId="10" fillId="0" borderId="35" xfId="3" applyNumberFormat="1" applyFont="1" applyFill="1" applyBorder="1" applyAlignment="1" applyProtection="1"/>
    <xf numFmtId="0" fontId="9" fillId="2" borderId="36" xfId="3" applyNumberFormat="1" applyFont="1" applyFill="1" applyBorder="1" applyAlignment="1" applyProtection="1">
      <alignment horizontal="center"/>
    </xf>
    <xf numFmtId="0" fontId="9" fillId="0" borderId="37" xfId="3" applyNumberFormat="1" applyFont="1" applyFill="1" applyBorder="1" applyAlignment="1" applyProtection="1"/>
    <xf numFmtId="0" fontId="10" fillId="0" borderId="38" xfId="3" applyNumberFormat="1" applyFont="1" applyFill="1" applyBorder="1" applyAlignment="1" applyProtection="1"/>
    <xf numFmtId="0" fontId="9" fillId="0" borderId="39" xfId="3" applyNumberFormat="1" applyFont="1" applyFill="1" applyBorder="1" applyAlignment="1" applyProtection="1"/>
    <xf numFmtId="0" fontId="9" fillId="2" borderId="39" xfId="3" applyNumberFormat="1" applyFont="1" applyFill="1" applyBorder="1" applyAlignment="1" applyProtection="1"/>
    <xf numFmtId="0" fontId="10" fillId="0" borderId="40" xfId="3" applyNumberFormat="1" applyFont="1" applyFill="1" applyBorder="1" applyAlignment="1" applyProtection="1"/>
    <xf numFmtId="0" fontId="9" fillId="0" borderId="41" xfId="3" applyNumberFormat="1" applyFont="1" applyFill="1" applyBorder="1" applyAlignment="1" applyProtection="1">
      <alignment horizontal="center"/>
    </xf>
    <xf numFmtId="0" fontId="9" fillId="2" borderId="42" xfId="3" applyNumberFormat="1" applyFont="1" applyFill="1" applyBorder="1" applyAlignment="1" applyProtection="1"/>
    <xf numFmtId="0" fontId="9" fillId="0" borderId="15" xfId="3" applyNumberFormat="1" applyFont="1" applyFill="1" applyBorder="1" applyAlignment="1" applyProtection="1">
      <alignment horizontal="left"/>
    </xf>
    <xf numFmtId="0" fontId="9" fillId="0" borderId="10" xfId="3" applyNumberFormat="1" applyFont="1" applyFill="1" applyBorder="1" applyAlignment="1" applyProtection="1">
      <alignment horizontal="left"/>
    </xf>
    <xf numFmtId="0" fontId="10" fillId="2" borderId="43" xfId="3" applyNumberFormat="1" applyFont="1" applyFill="1" applyBorder="1" applyAlignment="1" applyProtection="1"/>
    <xf numFmtId="0" fontId="10" fillId="2" borderId="45" xfId="1" applyFont="1" applyFill="1" applyBorder="1"/>
    <xf numFmtId="0" fontId="9" fillId="0" borderId="46" xfId="3" applyNumberFormat="1" applyFont="1" applyFill="1" applyBorder="1" applyAlignment="1" applyProtection="1">
      <alignment horizontal="center"/>
    </xf>
    <xf numFmtId="0" fontId="9" fillId="0" borderId="44" xfId="3" applyNumberFormat="1" applyFont="1" applyFill="1" applyBorder="1" applyAlignment="1" applyProtection="1">
      <alignment horizontal="center"/>
    </xf>
    <xf numFmtId="0" fontId="10" fillId="2" borderId="35" xfId="3" applyNumberFormat="1" applyFont="1" applyFill="1" applyBorder="1" applyAlignment="1" applyProtection="1"/>
    <xf numFmtId="0" fontId="10" fillId="2" borderId="36" xfId="3" applyNumberFormat="1" applyFont="1" applyFill="1" applyBorder="1" applyAlignment="1" applyProtection="1"/>
    <xf numFmtId="0" fontId="10" fillId="2" borderId="37" xfId="3" applyNumberFormat="1" applyFont="1" applyFill="1" applyBorder="1" applyAlignment="1" applyProtection="1"/>
    <xf numFmtId="0" fontId="10" fillId="2" borderId="47" xfId="1" applyFont="1" applyFill="1" applyBorder="1"/>
    <xf numFmtId="1" fontId="10" fillId="8" borderId="48" xfId="3" applyNumberFormat="1" applyFont="1" applyFill="1" applyBorder="1" applyAlignment="1" applyProtection="1">
      <alignment horizontal="left"/>
    </xf>
    <xf numFmtId="0" fontId="9" fillId="0" borderId="38" xfId="3" applyNumberFormat="1" applyFont="1" applyFill="1" applyBorder="1" applyAlignment="1" applyProtection="1"/>
    <xf numFmtId="0" fontId="9" fillId="0" borderId="40" xfId="3" applyNumberFormat="1" applyFont="1" applyFill="1" applyBorder="1" applyAlignment="1" applyProtection="1"/>
    <xf numFmtId="0" fontId="9" fillId="0" borderId="41" xfId="3" applyNumberFormat="1" applyFont="1" applyFill="1" applyBorder="1" applyAlignment="1" applyProtection="1"/>
    <xf numFmtId="0" fontId="9" fillId="0" borderId="42" xfId="3" applyNumberFormat="1" applyFont="1" applyFill="1" applyBorder="1" applyAlignment="1" applyProtection="1"/>
    <xf numFmtId="0" fontId="22" fillId="0" borderId="0" xfId="0" applyFont="1"/>
    <xf numFmtId="0" fontId="23" fillId="0" borderId="0" xfId="0" applyFont="1"/>
    <xf numFmtId="0" fontId="23" fillId="10" borderId="0" xfId="0" applyFont="1" applyFill="1"/>
    <xf numFmtId="0" fontId="24" fillId="0" borderId="0" xfId="3" applyNumberFormat="1" applyFont="1" applyFill="1" applyBorder="1" applyAlignment="1" applyProtection="1"/>
    <xf numFmtId="0" fontId="25" fillId="0" borderId="0" xfId="3" applyNumberFormat="1" applyFont="1" applyFill="1" applyBorder="1" applyAlignment="1" applyProtection="1"/>
    <xf numFmtId="1" fontId="9" fillId="0" borderId="11" xfId="3" applyNumberFormat="1" applyFont="1" applyFill="1" applyBorder="1" applyAlignment="1" applyProtection="1">
      <alignment horizontal="center"/>
    </xf>
    <xf numFmtId="1" fontId="9" fillId="2" borderId="13" xfId="3" applyNumberFormat="1" applyFont="1" applyFill="1" applyBorder="1" applyAlignment="1" applyProtection="1">
      <alignment horizontal="center"/>
    </xf>
    <xf numFmtId="0" fontId="26" fillId="0" borderId="1" xfId="3" applyNumberFormat="1" applyFont="1" applyFill="1" applyBorder="1" applyAlignment="1" applyProtection="1"/>
    <xf numFmtId="0" fontId="9" fillId="2" borderId="9" xfId="3" applyNumberFormat="1" applyFont="1" applyFill="1" applyBorder="1" applyAlignment="1" applyProtection="1"/>
    <xf numFmtId="0" fontId="9" fillId="0" borderId="34" xfId="3" applyNumberFormat="1" applyFont="1" applyFill="1" applyBorder="1" applyAlignment="1" applyProtection="1">
      <alignment horizontal="center"/>
    </xf>
    <xf numFmtId="0" fontId="9" fillId="0" borderId="2" xfId="3" applyNumberFormat="1" applyFont="1" applyFill="1" applyBorder="1" applyAlignment="1" applyProtection="1">
      <alignment horizontal="left"/>
    </xf>
    <xf numFmtId="0" fontId="10" fillId="3" borderId="13" xfId="3" applyNumberFormat="1" applyFont="1" applyFill="1" applyBorder="1" applyAlignment="1" applyProtection="1"/>
    <xf numFmtId="0" fontId="27" fillId="0" borderId="0" xfId="3" applyNumberFormat="1" applyFont="1" applyFill="1" applyBorder="1" applyAlignment="1" applyProtection="1"/>
    <xf numFmtId="0" fontId="28" fillId="0" borderId="0" xfId="3" applyNumberFormat="1" applyFont="1" applyFill="1" applyBorder="1" applyAlignment="1" applyProtection="1"/>
    <xf numFmtId="0" fontId="5" fillId="0" borderId="0" xfId="4"/>
    <xf numFmtId="0" fontId="30" fillId="0" borderId="12" xfId="3" applyNumberFormat="1" applyFont="1" applyFill="1" applyBorder="1" applyAlignment="1" applyProtection="1"/>
    <xf numFmtId="0" fontId="12" fillId="0" borderId="34" xfId="3" applyNumberFormat="1" applyFont="1" applyFill="1" applyBorder="1" applyAlignment="1" applyProtection="1"/>
    <xf numFmtId="0" fontId="29" fillId="2" borderId="34" xfId="3" applyNumberFormat="1" applyFont="1" applyFill="1" applyBorder="1" applyAlignment="1" applyProtection="1"/>
    <xf numFmtId="0" fontId="29" fillId="0" borderId="34" xfId="3" applyNumberFormat="1" applyFont="1" applyFill="1" applyBorder="1" applyAlignment="1" applyProtection="1">
      <alignment horizontal="center"/>
    </xf>
    <xf numFmtId="0" fontId="13" fillId="0" borderId="1" xfId="3" applyNumberFormat="1" applyFont="1" applyFill="1" applyBorder="1" applyAlignment="1" applyProtection="1"/>
    <xf numFmtId="0" fontId="13" fillId="0" borderId="33" xfId="3" applyNumberFormat="1" applyFont="1" applyFill="1" applyBorder="1" applyAlignment="1" applyProtection="1"/>
    <xf numFmtId="0" fontId="30" fillId="0" borderId="6" xfId="3" applyNumberFormat="1" applyFont="1" applyFill="1" applyBorder="1" applyAlignment="1" applyProtection="1"/>
    <xf numFmtId="0" fontId="13" fillId="0" borderId="46" xfId="3" applyNumberFormat="1" applyFont="1" applyFill="1" applyBorder="1" applyAlignment="1" applyProtection="1"/>
    <xf numFmtId="0" fontId="13" fillId="0" borderId="44" xfId="3" applyNumberFormat="1" applyFont="1" applyFill="1" applyBorder="1" applyAlignment="1" applyProtection="1"/>
    <xf numFmtId="0" fontId="9" fillId="0" borderId="38" xfId="3" applyNumberFormat="1" applyFont="1" applyFill="1" applyBorder="1" applyAlignment="1" applyProtection="1">
      <alignment horizontal="center"/>
    </xf>
    <xf numFmtId="0" fontId="13" fillId="2" borderId="35" xfId="3" applyNumberFormat="1" applyFont="1" applyFill="1" applyBorder="1" applyAlignment="1" applyProtection="1"/>
    <xf numFmtId="0" fontId="13" fillId="2" borderId="43" xfId="3" applyNumberFormat="1" applyFont="1" applyFill="1" applyBorder="1" applyAlignment="1" applyProtection="1"/>
    <xf numFmtId="0" fontId="9" fillId="0" borderId="44" xfId="3" applyNumberFormat="1" applyFont="1" applyFill="1" applyBorder="1" applyAlignment="1" applyProtection="1"/>
    <xf numFmtId="0" fontId="9" fillId="0" borderId="11" xfId="3" applyNumberFormat="1" applyFont="1" applyFill="1" applyBorder="1" applyAlignment="1" applyProtection="1">
      <alignment horizontal="left"/>
    </xf>
    <xf numFmtId="0" fontId="9" fillId="0" borderId="49" xfId="3" applyNumberFormat="1" applyFont="1" applyFill="1" applyBorder="1" applyAlignment="1" applyProtection="1">
      <alignment horizontal="left"/>
    </xf>
    <xf numFmtId="0" fontId="9" fillId="0" borderId="51" xfId="3" applyNumberFormat="1" applyFont="1" applyFill="1" applyBorder="1" applyAlignment="1" applyProtection="1">
      <alignment horizontal="center"/>
    </xf>
    <xf numFmtId="0" fontId="10" fillId="2" borderId="5" xfId="3" applyNumberFormat="1" applyFont="1" applyFill="1" applyBorder="1" applyAlignment="1" applyProtection="1">
      <alignment horizontal="left"/>
    </xf>
    <xf numFmtId="0" fontId="10" fillId="3" borderId="13" xfId="3" applyNumberFormat="1" applyFont="1" applyFill="1" applyBorder="1" applyAlignment="1" applyProtection="1">
      <alignment horizontal="center"/>
    </xf>
    <xf numFmtId="0" fontId="9" fillId="0" borderId="49" xfId="3" applyNumberFormat="1" applyFont="1" applyFill="1" applyBorder="1" applyAlignment="1" applyProtection="1"/>
    <xf numFmtId="0" fontId="9" fillId="0" borderId="52" xfId="3" applyNumberFormat="1" applyFont="1" applyFill="1" applyBorder="1" applyAlignment="1" applyProtection="1">
      <alignment horizontal="center"/>
    </xf>
    <xf numFmtId="0" fontId="9" fillId="0" borderId="52" xfId="3" applyNumberFormat="1" applyFont="1" applyFill="1" applyBorder="1" applyAlignment="1" applyProtection="1"/>
    <xf numFmtId="0" fontId="9" fillId="0" borderId="50" xfId="3" applyNumberFormat="1" applyFont="1" applyFill="1" applyBorder="1" applyAlignment="1" applyProtection="1">
      <alignment horizontal="center"/>
    </xf>
    <xf numFmtId="0" fontId="4" fillId="0" borderId="0" xfId="4" applyFont="1"/>
    <xf numFmtId="0" fontId="10" fillId="0" borderId="2" xfId="3" applyNumberFormat="1" applyFont="1" applyFill="1" applyBorder="1" applyAlignment="1" applyProtection="1">
      <alignment horizontal="left"/>
    </xf>
    <xf numFmtId="0" fontId="9" fillId="0" borderId="2" xfId="3" applyNumberFormat="1" applyFont="1" applyFill="1" applyBorder="1" applyAlignment="1" applyProtection="1">
      <alignment horizontal="left"/>
    </xf>
    <xf numFmtId="0" fontId="9" fillId="0" borderId="3" xfId="3" applyNumberFormat="1" applyFont="1" applyFill="1" applyBorder="1" applyAlignment="1" applyProtection="1">
      <alignment horizontal="left" wrapText="1"/>
    </xf>
    <xf numFmtId="0" fontId="0" fillId="0" borderId="5" xfId="0" applyBorder="1" applyAlignment="1">
      <alignment horizontal="left" wrapText="1"/>
    </xf>
    <xf numFmtId="0" fontId="10" fillId="0" borderId="1" xfId="3" applyNumberFormat="1" applyFont="1" applyFill="1" applyBorder="1" applyAlignment="1" applyProtection="1">
      <alignment horizontal="left"/>
    </xf>
    <xf numFmtId="0" fontId="0" fillId="0" borderId="0" xfId="0" applyBorder="1" applyAlignment="1"/>
    <xf numFmtId="0" fontId="0" fillId="0" borderId="0" xfId="0" applyAlignment="1"/>
    <xf numFmtId="0" fontId="0" fillId="0" borderId="39" xfId="0" applyBorder="1" applyAlignment="1"/>
    <xf numFmtId="0" fontId="10" fillId="3" borderId="13" xfId="3" applyNumberFormat="1" applyFont="1" applyFill="1" applyBorder="1" applyAlignment="1" applyProtection="1"/>
    <xf numFmtId="0" fontId="10" fillId="3" borderId="2" xfId="3" applyNumberFormat="1" applyFont="1" applyFill="1" applyBorder="1" applyAlignment="1" applyProtection="1"/>
  </cellXfs>
  <cellStyles count="5">
    <cellStyle name="Excel Built-in Normal" xfId="1"/>
    <cellStyle name="Excel Built-in Normal 1" xfId="2"/>
    <cellStyle name="Excel Built-in Normal 2" xfId="3"/>
    <cellStyle name="Hyperlinkki" xfId="4" builtinId="8"/>
    <cellStyle name="Normaali"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E6E6FF"/>
      <rgbColor rgb="00E6E6E6"/>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561975</xdr:colOff>
      <xdr:row>8</xdr:row>
      <xdr:rowOff>38100</xdr:rowOff>
    </xdr:from>
    <xdr:to>
      <xdr:col>12</xdr:col>
      <xdr:colOff>66675</xdr:colOff>
      <xdr:row>42</xdr:row>
      <xdr:rowOff>95250</xdr:rowOff>
    </xdr:to>
    <xdr:pic>
      <xdr:nvPicPr>
        <xdr:cNvPr id="2" name="Kuva 1" descr="2018-08-01.png (396Ã516)">
          <a:extLst>
            <a:ext uri="{FF2B5EF4-FFF2-40B4-BE49-F238E27FC236}">
              <a16:creationId xmlns:a16="http://schemas.microsoft.com/office/drawing/2014/main" id="{0E90C4D5-1B4E-47DA-AB07-F7B35E789F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6225" y="180975"/>
          <a:ext cx="3771900" cy="491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438150</xdr:colOff>
      <xdr:row>24</xdr:row>
      <xdr:rowOff>85725</xdr:rowOff>
    </xdr:from>
    <xdr:to>
      <xdr:col>24</xdr:col>
      <xdr:colOff>352425</xdr:colOff>
      <xdr:row>63</xdr:row>
      <xdr:rowOff>95250</xdr:rowOff>
    </xdr:to>
    <xdr:pic>
      <xdr:nvPicPr>
        <xdr:cNvPr id="2" name="Kuva 1" descr="2018-08-01.png (396Ã516)">
          <a:extLst>
            <a:ext uri="{FF2B5EF4-FFF2-40B4-BE49-F238E27FC236}">
              <a16:creationId xmlns:a16="http://schemas.microsoft.com/office/drawing/2014/main" id="{B57A562A-1104-4A35-80AB-521D93E2E4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49475" y="3133725"/>
          <a:ext cx="3771900" cy="491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uittaa.fi/newrpg/sekal/houserules/TP.pdf" TargetMode="External"/><Relationship Id="rId2" Type="http://schemas.openxmlformats.org/officeDocument/2006/relationships/hyperlink" Target="http://easydamus.com/alignmentreal.html" TargetMode="External"/><Relationship Id="rId1" Type="http://schemas.openxmlformats.org/officeDocument/2006/relationships/hyperlink" Target="http://easydamus.com/alignmenttest.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ngelfire.com/rpg2/legacyoffate/ra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forgottenrealms.wikia.com/wiki/Dragonborn" TargetMode="External"/><Relationship Id="rId13" Type="http://schemas.openxmlformats.org/officeDocument/2006/relationships/hyperlink" Target="http://forgottenrealms.wikia.com/wiki/Ghostwise_halfling" TargetMode="External"/><Relationship Id="rId18" Type="http://schemas.openxmlformats.org/officeDocument/2006/relationships/hyperlink" Target="http://forgottenrealms.wikia.com/wiki/Halruaan_(ethnicity)" TargetMode="External"/><Relationship Id="rId26" Type="http://schemas.openxmlformats.org/officeDocument/2006/relationships/hyperlink" Target="http://forgottenrealms.wikia.com/wiki/Nar_(ethnicity)" TargetMode="External"/><Relationship Id="rId3" Type="http://schemas.openxmlformats.org/officeDocument/2006/relationships/hyperlink" Target="http://forgottenrealms.wikia.com/wiki/Calishite" TargetMode="External"/><Relationship Id="rId21" Type="http://schemas.openxmlformats.org/officeDocument/2006/relationships/hyperlink" Target="http://forgottenrealms.wikia.com/wiki/Deep%20Imaskari" TargetMode="External"/><Relationship Id="rId34" Type="http://schemas.openxmlformats.org/officeDocument/2006/relationships/hyperlink" Target="http://forgottenrealms.wikia.com/wiki/Ulutiun" TargetMode="External"/><Relationship Id="rId7" Type="http://schemas.openxmlformats.org/officeDocument/2006/relationships/hyperlink" Target="http://forgottenrealms.wikia.com/wiki/Deep_gnomes" TargetMode="External"/><Relationship Id="rId12" Type="http://schemas.openxmlformats.org/officeDocument/2006/relationships/hyperlink" Target="http://forgottenrealms.wikia.com/wiki/Forest_gnome" TargetMode="External"/><Relationship Id="rId17" Type="http://schemas.openxmlformats.org/officeDocument/2006/relationships/hyperlink" Target="http://forgottenrealms.wikia.com/wiki/Half-orc" TargetMode="External"/><Relationship Id="rId25" Type="http://schemas.openxmlformats.org/officeDocument/2006/relationships/hyperlink" Target="http://forgottenrealms.wikia.com/wiki/Mulan" TargetMode="External"/><Relationship Id="rId33" Type="http://schemas.openxmlformats.org/officeDocument/2006/relationships/hyperlink" Target="http://forgottenrealms.wikia.com/wiki/Tuigan" TargetMode="External"/><Relationship Id="rId2" Type="http://schemas.openxmlformats.org/officeDocument/2006/relationships/hyperlink" Target="http://forgottenrealms.wikia.com/wiki/Arkaiun" TargetMode="External"/><Relationship Id="rId16" Type="http://schemas.openxmlformats.org/officeDocument/2006/relationships/hyperlink" Target="http://forgottenrealms.wikia.com/wiki/Half-elf" TargetMode="External"/><Relationship Id="rId20" Type="http://schemas.openxmlformats.org/officeDocument/2006/relationships/hyperlink" Target="http://forgottenrealms.wikia.com/wiki/Illuskan" TargetMode="External"/><Relationship Id="rId29" Type="http://schemas.openxmlformats.org/officeDocument/2006/relationships/hyperlink" Target="http://forgottenrealms.wikia.com/wiki/Shaaran" TargetMode="External"/><Relationship Id="rId1" Type="http://schemas.openxmlformats.org/officeDocument/2006/relationships/hyperlink" Target="http://forgottenrealms.wikia.com/wiki/Aquatic_elf" TargetMode="External"/><Relationship Id="rId6" Type="http://schemas.openxmlformats.org/officeDocument/2006/relationships/hyperlink" Target="http://forgottenrealms.wikia.com/wiki/Damaran" TargetMode="External"/><Relationship Id="rId11" Type="http://schemas.openxmlformats.org/officeDocument/2006/relationships/hyperlink" Target="http://forgottenrealms.wikia.com/wiki/Ffolk" TargetMode="External"/><Relationship Id="rId24" Type="http://schemas.openxmlformats.org/officeDocument/2006/relationships/hyperlink" Target="http://forgottenrealms.wikia.com/wiki/Shield_dwarf" TargetMode="External"/><Relationship Id="rId32" Type="http://schemas.openxmlformats.org/officeDocument/2006/relationships/hyperlink" Target="http://forgottenrealms.wikia.com/wiki/Tethyrian" TargetMode="External"/><Relationship Id="rId37" Type="http://schemas.openxmlformats.org/officeDocument/2006/relationships/printerSettings" Target="../printerSettings/printerSettings4.bin"/><Relationship Id="rId5" Type="http://schemas.openxmlformats.org/officeDocument/2006/relationships/hyperlink" Target="http://forgottenrealms.wikia.com/wiki/Orc" TargetMode="External"/><Relationship Id="rId15" Type="http://schemas.openxmlformats.org/officeDocument/2006/relationships/hyperlink" Target="http://forgottenrealms.wikia.com/wiki/Gur" TargetMode="External"/><Relationship Id="rId23" Type="http://schemas.openxmlformats.org/officeDocument/2006/relationships/hyperlink" Target="http://forgottenrealms.wikia.com/wiki/Moon_elf" TargetMode="External"/><Relationship Id="rId28" Type="http://schemas.openxmlformats.org/officeDocument/2006/relationships/hyperlink" Target="http://forgottenrealms.wikia.com/wiki/Rock_gnomes" TargetMode="External"/><Relationship Id="rId36" Type="http://schemas.openxmlformats.org/officeDocument/2006/relationships/hyperlink" Target="http://forgottenrealms.wikia.com/wiki/Bedine" TargetMode="External"/><Relationship Id="rId10" Type="http://schemas.openxmlformats.org/officeDocument/2006/relationships/hyperlink" Target="http://forgottenrealms.wikia.com/wiki/Drow" TargetMode="External"/><Relationship Id="rId19" Type="http://schemas.openxmlformats.org/officeDocument/2006/relationships/hyperlink" Target="http://forgottenrealms.wikia.com/wiki/Gold_dwarf" TargetMode="External"/><Relationship Id="rId31" Type="http://schemas.openxmlformats.org/officeDocument/2006/relationships/hyperlink" Target="http://forgottenrealms.wikia.com/wiki/Sun_elf" TargetMode="External"/><Relationship Id="rId4" Type="http://schemas.openxmlformats.org/officeDocument/2006/relationships/hyperlink" Target="http://forgottenrealms.wikia.com/wiki/Chondathan" TargetMode="External"/><Relationship Id="rId9" Type="http://schemas.openxmlformats.org/officeDocument/2006/relationships/hyperlink" Target="http://forgottenrealms.wikia.com/wiki/Drow" TargetMode="External"/><Relationship Id="rId14" Type="http://schemas.openxmlformats.org/officeDocument/2006/relationships/hyperlink" Target="http://forgottenrealms.wikia.com/wiki/Duergar" TargetMode="External"/><Relationship Id="rId22" Type="http://schemas.openxmlformats.org/officeDocument/2006/relationships/hyperlink" Target="http://forgottenrealms.wikia.com/wiki/Lightfoot_halfling" TargetMode="External"/><Relationship Id="rId27" Type="http://schemas.openxmlformats.org/officeDocument/2006/relationships/hyperlink" Target="http://forgottenrealms.wikia.com/wiki/Rashemi" TargetMode="External"/><Relationship Id="rId30" Type="http://schemas.openxmlformats.org/officeDocument/2006/relationships/hyperlink" Target="http://forgottenrealms.wikia.com/wiki/Strongheart_halfling" TargetMode="External"/><Relationship Id="rId35" Type="http://schemas.openxmlformats.org/officeDocument/2006/relationships/hyperlink" Target="http://forgottenrealms.wikia.com/wiki/Wild_el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tabSelected="1" workbookViewId="0">
      <selection activeCell="D2" sqref="D2"/>
    </sheetView>
  </sheetViews>
  <sheetFormatPr defaultColWidth="9.140625" defaultRowHeight="11.25" x14ac:dyDescent="0.2"/>
  <cols>
    <col min="1" max="1" width="9.140625" style="265"/>
    <col min="2" max="2" width="40" style="265" bestFit="1" customWidth="1"/>
    <col min="3" max="3" width="41.5703125" style="265" bestFit="1" customWidth="1"/>
    <col min="4" max="4" width="10.140625" style="265" bestFit="1" customWidth="1"/>
    <col min="5" max="16384" width="9.140625" style="265"/>
  </cols>
  <sheetData>
    <row r="1" spans="1:4" x14ac:dyDescent="0.2">
      <c r="A1" s="267" t="s">
        <v>4134</v>
      </c>
      <c r="B1" s="267" t="s">
        <v>4090</v>
      </c>
      <c r="C1" s="267" t="s">
        <v>4107</v>
      </c>
      <c r="D1" s="267" t="s">
        <v>4091</v>
      </c>
    </row>
    <row r="2" spans="1:4" x14ac:dyDescent="0.2">
      <c r="A2" s="266" t="s">
        <v>4430</v>
      </c>
      <c r="B2" s="265" t="s">
        <v>4431</v>
      </c>
    </row>
    <row r="8" spans="1:4" x14ac:dyDescent="0.2">
      <c r="A8" s="267" t="s">
        <v>4134</v>
      </c>
      <c r="B8" s="267" t="s">
        <v>4090</v>
      </c>
      <c r="C8" s="267" t="s">
        <v>4107</v>
      </c>
      <c r="D8" s="267" t="s">
        <v>4091</v>
      </c>
    </row>
    <row r="9" spans="1:4" x14ac:dyDescent="0.2">
      <c r="A9" s="266" t="s">
        <v>4394</v>
      </c>
      <c r="B9" s="265" t="s">
        <v>4395</v>
      </c>
      <c r="C9" s="265" t="s">
        <v>4396</v>
      </c>
      <c r="D9" s="265" t="s">
        <v>4254</v>
      </c>
    </row>
    <row r="10" spans="1:4" x14ac:dyDescent="0.2">
      <c r="B10" s="265" t="s">
        <v>4397</v>
      </c>
    </row>
    <row r="11" spans="1:4" x14ac:dyDescent="0.2">
      <c r="B11" s="265" t="s">
        <v>4399</v>
      </c>
    </row>
    <row r="12" spans="1:4" x14ac:dyDescent="0.2">
      <c r="B12" s="265" t="s">
        <v>4400</v>
      </c>
    </row>
    <row r="13" spans="1:4" x14ac:dyDescent="0.2">
      <c r="B13" s="265" t="s">
        <v>4401</v>
      </c>
      <c r="C13" s="265" t="s">
        <v>4402</v>
      </c>
    </row>
    <row r="14" spans="1:4" x14ac:dyDescent="0.2">
      <c r="B14" s="265" t="s">
        <v>4424</v>
      </c>
    </row>
    <row r="15" spans="1:4" x14ac:dyDescent="0.2">
      <c r="B15" s="265" t="s">
        <v>4427</v>
      </c>
      <c r="D15" s="265" t="s">
        <v>4428</v>
      </c>
    </row>
    <row r="17" spans="1:4" x14ac:dyDescent="0.2">
      <c r="A17" s="267" t="s">
        <v>4134</v>
      </c>
      <c r="B17" s="267" t="s">
        <v>4090</v>
      </c>
      <c r="C17" s="267" t="s">
        <v>4107</v>
      </c>
      <c r="D17" s="267" t="s">
        <v>4091</v>
      </c>
    </row>
    <row r="18" spans="1:4" x14ac:dyDescent="0.2">
      <c r="A18" s="266" t="s">
        <v>4252</v>
      </c>
      <c r="B18" s="265" t="s">
        <v>4253</v>
      </c>
      <c r="D18" s="265" t="s">
        <v>4254</v>
      </c>
    </row>
    <row r="19" spans="1:4" x14ac:dyDescent="0.2">
      <c r="B19" s="265" t="s">
        <v>4255</v>
      </c>
    </row>
    <row r="20" spans="1:4" x14ac:dyDescent="0.2">
      <c r="B20" s="265" t="s">
        <v>4256</v>
      </c>
    </row>
    <row r="21" spans="1:4" x14ac:dyDescent="0.2">
      <c r="B21" s="265" t="s">
        <v>4258</v>
      </c>
    </row>
    <row r="22" spans="1:4" x14ac:dyDescent="0.2">
      <c r="B22" s="265" t="s">
        <v>4259</v>
      </c>
    </row>
    <row r="23" spans="1:4" x14ac:dyDescent="0.2">
      <c r="B23" s="265" t="s">
        <v>4262</v>
      </c>
    </row>
    <row r="24" spans="1:4" x14ac:dyDescent="0.2">
      <c r="B24" s="265" t="s">
        <v>4274</v>
      </c>
    </row>
    <row r="25" spans="1:4" x14ac:dyDescent="0.2">
      <c r="B25" s="265" t="s">
        <v>4398</v>
      </c>
      <c r="D25" s="265" t="s">
        <v>4383</v>
      </c>
    </row>
    <row r="27" spans="1:4" x14ac:dyDescent="0.2">
      <c r="A27" s="267" t="s">
        <v>4134</v>
      </c>
      <c r="B27" s="267" t="s">
        <v>4090</v>
      </c>
      <c r="C27" s="267" t="s">
        <v>4107</v>
      </c>
      <c r="D27" s="267" t="s">
        <v>4091</v>
      </c>
    </row>
    <row r="28" spans="1:4" x14ac:dyDescent="0.2">
      <c r="A28" s="266" t="s">
        <v>4241</v>
      </c>
      <c r="B28" s="265" t="s">
        <v>4242</v>
      </c>
    </row>
    <row r="29" spans="1:4" x14ac:dyDescent="0.2">
      <c r="B29" s="265" t="s">
        <v>4243</v>
      </c>
    </row>
    <row r="31" spans="1:4" x14ac:dyDescent="0.2">
      <c r="A31" s="267" t="s">
        <v>4134</v>
      </c>
      <c r="B31" s="267" t="s">
        <v>4090</v>
      </c>
      <c r="C31" s="267" t="s">
        <v>4107</v>
      </c>
      <c r="D31" s="267" t="s">
        <v>4091</v>
      </c>
    </row>
    <row r="32" spans="1:4" x14ac:dyDescent="0.2">
      <c r="A32" s="266" t="s">
        <v>4106</v>
      </c>
      <c r="B32" s="265" t="s">
        <v>4108</v>
      </c>
      <c r="D32" s="265" t="s">
        <v>4104</v>
      </c>
    </row>
    <row r="33" spans="1:4" x14ac:dyDescent="0.2">
      <c r="B33" s="265" t="s">
        <v>4109</v>
      </c>
      <c r="D33" s="265" t="s">
        <v>4105</v>
      </c>
    </row>
    <row r="34" spans="1:4" x14ac:dyDescent="0.2">
      <c r="B34" s="265" t="s">
        <v>4103</v>
      </c>
      <c r="C34" s="265" t="s">
        <v>4110</v>
      </c>
    </row>
    <row r="35" spans="1:4" x14ac:dyDescent="0.2">
      <c r="B35" s="265" t="s">
        <v>4112</v>
      </c>
    </row>
    <row r="36" spans="1:4" x14ac:dyDescent="0.2">
      <c r="B36" s="265" t="s">
        <v>4113</v>
      </c>
    </row>
    <row r="37" spans="1:4" x14ac:dyDescent="0.2">
      <c r="B37" s="265" t="s">
        <v>4114</v>
      </c>
    </row>
    <row r="38" spans="1:4" x14ac:dyDescent="0.2">
      <c r="B38" s="265" t="s">
        <v>4123</v>
      </c>
      <c r="C38" s="265" t="s">
        <v>4120</v>
      </c>
    </row>
    <row r="39" spans="1:4" x14ac:dyDescent="0.2">
      <c r="B39" s="265" t="s">
        <v>4121</v>
      </c>
      <c r="C39" s="265" t="s">
        <v>4122</v>
      </c>
    </row>
    <row r="40" spans="1:4" x14ac:dyDescent="0.2">
      <c r="B40" s="265" t="s">
        <v>4132</v>
      </c>
    </row>
    <row r="41" spans="1:4" x14ac:dyDescent="0.2">
      <c r="B41" s="265" t="s">
        <v>4169</v>
      </c>
      <c r="C41" s="265" t="s">
        <v>4170</v>
      </c>
    </row>
    <row r="43" spans="1:4" x14ac:dyDescent="0.2">
      <c r="A43" s="267" t="s">
        <v>4134</v>
      </c>
      <c r="B43" s="267" t="s">
        <v>4090</v>
      </c>
      <c r="C43" s="267" t="s">
        <v>4107</v>
      </c>
      <c r="D43" s="267" t="s">
        <v>4091</v>
      </c>
    </row>
    <row r="44" spans="1:4" x14ac:dyDescent="0.2">
      <c r="A44" s="266" t="s">
        <v>4084</v>
      </c>
      <c r="B44" s="265" t="s">
        <v>4085</v>
      </c>
      <c r="D44" s="265" t="s">
        <v>4104</v>
      </c>
    </row>
    <row r="45" spans="1:4" x14ac:dyDescent="0.2">
      <c r="B45" s="265" t="s">
        <v>4086</v>
      </c>
      <c r="D45" s="265" t="s">
        <v>4105</v>
      </c>
    </row>
    <row r="46" spans="1:4" x14ac:dyDescent="0.2">
      <c r="B46" s="265" t="s">
        <v>4089</v>
      </c>
      <c r="C46" s="12" t="s">
        <v>4087</v>
      </c>
      <c r="D46" s="265" t="s">
        <v>4092</v>
      </c>
    </row>
    <row r="47" spans="1:4" x14ac:dyDescent="0.2">
      <c r="B47" s="265" t="s">
        <v>4089</v>
      </c>
      <c r="C47" s="12" t="s">
        <v>4088</v>
      </c>
      <c r="D47" s="265" t="s">
        <v>4093</v>
      </c>
    </row>
    <row r="48" spans="1:4" x14ac:dyDescent="0.2">
      <c r="B48" s="265" t="s">
        <v>4094</v>
      </c>
      <c r="C48" s="235" t="s">
        <v>558</v>
      </c>
    </row>
    <row r="49" spans="2:3" x14ac:dyDescent="0.2">
      <c r="B49" s="265" t="s">
        <v>4094</v>
      </c>
      <c r="C49" s="235" t="s">
        <v>563</v>
      </c>
    </row>
    <row r="50" spans="2:3" x14ac:dyDescent="0.2">
      <c r="B50" s="265" t="s">
        <v>4094</v>
      </c>
      <c r="C50" s="235" t="s">
        <v>567</v>
      </c>
    </row>
    <row r="51" spans="2:3" x14ac:dyDescent="0.2">
      <c r="B51" s="265" t="s">
        <v>4094</v>
      </c>
      <c r="C51" s="235" t="s">
        <v>566</v>
      </c>
    </row>
    <row r="52" spans="2:3" x14ac:dyDescent="0.2">
      <c r="B52" s="265" t="s">
        <v>4094</v>
      </c>
      <c r="C52" s="235" t="s">
        <v>610</v>
      </c>
    </row>
    <row r="53" spans="2:3" x14ac:dyDescent="0.2">
      <c r="B53" s="265" t="s">
        <v>4094</v>
      </c>
      <c r="C53" s="235" t="s">
        <v>614</v>
      </c>
    </row>
    <row r="54" spans="2:3" x14ac:dyDescent="0.2">
      <c r="B54" s="265" t="s">
        <v>4094</v>
      </c>
      <c r="C54" s="235" t="s">
        <v>620</v>
      </c>
    </row>
    <row r="55" spans="2:3" x14ac:dyDescent="0.2">
      <c r="B55" s="265" t="s">
        <v>4094</v>
      </c>
      <c r="C55" s="12" t="s">
        <v>619</v>
      </c>
    </row>
    <row r="56" spans="2:3" x14ac:dyDescent="0.2">
      <c r="B56" s="265" t="s">
        <v>4094</v>
      </c>
      <c r="C56" s="235" t="s">
        <v>496</v>
      </c>
    </row>
    <row r="57" spans="2:3" x14ac:dyDescent="0.2">
      <c r="B57" s="265" t="s">
        <v>4095</v>
      </c>
    </row>
    <row r="58" spans="2:3" x14ac:dyDescent="0.2">
      <c r="B58" s="265" t="s">
        <v>4096</v>
      </c>
    </row>
    <row r="59" spans="2:3" x14ac:dyDescent="0.2">
      <c r="B59" s="265" t="s">
        <v>4097</v>
      </c>
      <c r="C59" s="265" t="s">
        <v>746</v>
      </c>
    </row>
    <row r="60" spans="2:3" x14ac:dyDescent="0.2">
      <c r="B60" s="265" t="s">
        <v>4099</v>
      </c>
    </row>
    <row r="61" spans="2:3" x14ac:dyDescent="0.2">
      <c r="B61" s="265" t="s">
        <v>4103</v>
      </c>
      <c r="C61" s="265" t="s">
        <v>4111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2"/>
  <sheetViews>
    <sheetView topLeftCell="DP1" workbookViewId="0">
      <selection activeCell="HG3" sqref="HG3"/>
    </sheetView>
  </sheetViews>
  <sheetFormatPr defaultColWidth="11.5703125" defaultRowHeight="13.35" customHeight="1" x14ac:dyDescent="0.2"/>
  <cols>
    <col min="1" max="1" width="4" style="174" customWidth="1"/>
    <col min="2" max="2" width="5.85546875" style="174" customWidth="1"/>
    <col min="3" max="3" width="4.5703125" style="174" customWidth="1"/>
    <col min="4" max="4" width="11.5703125" style="174"/>
    <col min="5" max="5" width="19" style="174" customWidth="1"/>
    <col min="6" max="6" width="5.7109375" style="174" customWidth="1"/>
    <col min="7" max="7" width="4.5703125" style="174" customWidth="1"/>
    <col min="8" max="8" width="5.42578125" style="174" customWidth="1"/>
    <col min="9" max="9" width="9.42578125" style="174" customWidth="1"/>
    <col min="10" max="10" width="6.42578125" style="174" customWidth="1"/>
    <col min="11" max="11" width="6.7109375" style="174" customWidth="1"/>
    <col min="12" max="12" width="7.140625" style="174" customWidth="1"/>
    <col min="13" max="13" width="5" style="174" customWidth="1"/>
    <col min="14" max="14" width="6" style="174" customWidth="1"/>
    <col min="15" max="15" width="6.85546875" style="174" customWidth="1"/>
    <col min="16" max="16" width="8.140625" style="174" customWidth="1"/>
    <col min="17" max="17" width="5.42578125" style="174" customWidth="1"/>
    <col min="18" max="18" width="5.5703125" style="174" customWidth="1"/>
    <col min="19" max="19" width="6.5703125" style="174" customWidth="1"/>
    <col min="20" max="21" width="5.85546875" style="174" customWidth="1"/>
    <col min="22" max="22" width="4.85546875" style="174" customWidth="1"/>
    <col min="23" max="23" width="6.140625" style="174" customWidth="1"/>
    <col min="24" max="24" width="4.85546875" style="174" customWidth="1"/>
    <col min="25" max="25" width="5.85546875" style="174" customWidth="1"/>
    <col min="26" max="26" width="3.140625" style="174" customWidth="1"/>
    <col min="27" max="30" width="9.42578125" style="174" customWidth="1"/>
    <col min="31" max="31" width="2.28515625" style="174" customWidth="1"/>
    <col min="32" max="34" width="9.42578125" style="174" customWidth="1"/>
    <col min="35" max="35" width="3" style="174" customWidth="1"/>
    <col min="36" max="39" width="10.140625" style="174" customWidth="1"/>
    <col min="40" max="40" width="2.42578125" style="174" customWidth="1"/>
    <col min="41" max="43" width="10.140625" style="174" customWidth="1"/>
    <col min="44" max="44" width="2.5703125" style="174" customWidth="1"/>
    <col min="45" max="93" width="10.140625" style="174" customWidth="1"/>
    <col min="94" max="95" width="10" style="174" customWidth="1"/>
    <col min="96" max="96" width="3" style="174" customWidth="1"/>
    <col min="97" max="100" width="9.42578125" style="174" customWidth="1"/>
    <col min="101" max="101" width="2.5703125" style="174" customWidth="1"/>
    <col min="102" max="106" width="10.140625" style="174" customWidth="1"/>
    <col min="107" max="107" width="11" style="174" customWidth="1"/>
    <col min="108" max="108" width="10.7109375" style="174" customWidth="1"/>
    <col min="109" max="109" width="9.42578125" style="174" customWidth="1"/>
    <col min="110" max="110" width="3" style="174" customWidth="1"/>
    <col min="111" max="112" width="11.5703125" style="174"/>
    <col min="113" max="113" width="13.7109375" style="174" customWidth="1"/>
    <col min="114" max="114" width="3.28515625" style="174" customWidth="1"/>
    <col min="115" max="116" width="3.140625" style="174" customWidth="1"/>
    <col min="117" max="118" width="3.28515625" style="174" customWidth="1"/>
    <col min="119" max="119" width="3" style="174" customWidth="1"/>
    <col min="120" max="120" width="3.28515625" style="174" customWidth="1"/>
    <col min="121" max="121" width="2.85546875" style="174" customWidth="1"/>
    <col min="122" max="122" width="3.5703125" style="174" customWidth="1"/>
    <col min="123" max="123" width="3" style="174" customWidth="1"/>
    <col min="124" max="124" width="3.85546875" style="174" customWidth="1"/>
    <col min="125" max="125" width="4.7109375" style="174" customWidth="1"/>
    <col min="126" max="126" width="4.42578125" style="174" customWidth="1"/>
    <col min="127" max="127" width="4.140625" style="174" customWidth="1"/>
    <col min="128" max="128" width="3.7109375" style="174" customWidth="1"/>
    <col min="129" max="129" width="5.5703125" style="174" customWidth="1"/>
    <col min="130" max="130" width="4.28515625" style="174" customWidth="1"/>
    <col min="131" max="132" width="4.7109375" style="174" customWidth="1"/>
    <col min="133" max="133" width="3.42578125" style="174" customWidth="1"/>
    <col min="134" max="134" width="13.7109375" style="174" customWidth="1"/>
    <col min="135" max="135" width="6" style="174" customWidth="1"/>
    <col min="136" max="136" width="6.85546875" style="174" customWidth="1"/>
    <col min="137" max="137" width="6.5703125" style="174" customWidth="1"/>
    <col min="138" max="138" width="10.140625" style="174" customWidth="1"/>
    <col min="139" max="139" width="9.28515625" style="174" customWidth="1"/>
    <col min="140" max="140" width="9.5703125" style="174" customWidth="1"/>
    <col min="141" max="141" width="7.85546875" style="174" customWidth="1"/>
    <col min="142" max="142" width="7.7109375" style="174" customWidth="1"/>
    <col min="143" max="144" width="11.5703125" style="174"/>
    <col min="145" max="145" width="8.5703125" style="174" customWidth="1"/>
    <col min="146" max="146" width="7.85546875" style="174" customWidth="1"/>
    <col min="147" max="147" width="10.140625" style="174" customWidth="1"/>
    <col min="148" max="148" width="8.42578125" style="174" customWidth="1"/>
    <col min="149" max="149" width="7.7109375" style="174" customWidth="1"/>
    <col min="150" max="151" width="7.42578125" style="174" customWidth="1"/>
    <col min="152" max="152" width="8" style="174" customWidth="1"/>
    <col min="153" max="153" width="7.85546875" style="174" customWidth="1"/>
    <col min="154" max="156" width="7.42578125" style="174" customWidth="1"/>
    <col min="157" max="157" width="8.5703125" style="174" customWidth="1"/>
    <col min="158" max="158" width="4.85546875" style="174" customWidth="1"/>
    <col min="159" max="159" width="5.140625" style="174" customWidth="1"/>
    <col min="160" max="160" width="5.42578125" style="174" customWidth="1"/>
    <col min="161" max="161" width="5.140625" style="174" customWidth="1"/>
    <col min="162" max="162" width="6" style="174" customWidth="1"/>
    <col min="163" max="163" width="7" style="174" customWidth="1"/>
    <col min="164" max="164" width="8" style="174" customWidth="1"/>
    <col min="165" max="165" width="8.7109375" style="174" customWidth="1"/>
    <col min="166" max="167" width="6.7109375" style="174" customWidth="1"/>
    <col min="168" max="168" width="7.42578125" style="174" customWidth="1"/>
    <col min="169" max="170" width="7.28515625" style="174" customWidth="1"/>
    <col min="171" max="171" width="7.7109375" style="174" customWidth="1"/>
    <col min="172" max="172" width="6.7109375" style="174" customWidth="1"/>
    <col min="173" max="173" width="10.7109375" style="174" customWidth="1"/>
    <col min="174" max="174" width="11" style="174" customWidth="1"/>
    <col min="175" max="175" width="5.85546875" style="174" customWidth="1"/>
    <col min="176" max="176" width="5.5703125" style="174" customWidth="1"/>
    <col min="177" max="177" width="7.28515625" style="174" customWidth="1"/>
    <col min="178" max="178" width="6" style="174" customWidth="1"/>
    <col min="179" max="179" width="7.42578125" style="174" customWidth="1"/>
    <col min="180" max="180" width="6.5703125" style="174" customWidth="1"/>
    <col min="181" max="181" width="8.42578125" style="174" customWidth="1"/>
    <col min="182" max="190" width="8.28515625" style="174" customWidth="1"/>
    <col min="191" max="191" width="5.42578125" style="174" customWidth="1"/>
    <col min="192" max="192" width="6.28515625" style="174" customWidth="1"/>
    <col min="193" max="193" width="3.5703125" style="174" customWidth="1"/>
    <col min="194" max="194" width="4.42578125" style="174" customWidth="1"/>
    <col min="195" max="195" width="5.28515625" style="174" customWidth="1"/>
    <col min="196" max="196" width="9.5703125" style="174" customWidth="1"/>
    <col min="197" max="197" width="6.5703125" style="174" customWidth="1"/>
    <col min="198" max="198" width="7" style="174" customWidth="1"/>
    <col min="199" max="199" width="8" style="174" customWidth="1"/>
    <col min="200" max="200" width="9.5703125" style="174" customWidth="1"/>
    <col min="201" max="201" width="7.85546875" style="174" customWidth="1"/>
    <col min="202" max="202" width="8.140625" style="174" customWidth="1"/>
    <col min="203" max="203" width="7.140625" style="174" customWidth="1"/>
    <col min="204" max="204" width="6.85546875" style="174" customWidth="1"/>
    <col min="205" max="205" width="8.28515625" style="174" customWidth="1"/>
    <col min="206" max="206" width="8.42578125" style="174" customWidth="1"/>
    <col min="207" max="218" width="11.5703125" style="174"/>
    <col min="219" max="219" width="3.7109375" style="174" customWidth="1"/>
    <col min="220" max="239" width="4.42578125" style="174" customWidth="1"/>
    <col min="240" max="240" width="3.7109375" style="174" customWidth="1"/>
    <col min="241" max="241" width="5.28515625" style="174" customWidth="1"/>
    <col min="242" max="242" width="4.42578125" style="174" customWidth="1"/>
    <col min="243" max="243" width="13" style="174" customWidth="1"/>
    <col min="244" max="250" width="4.42578125" style="174" customWidth="1"/>
    <col min="251" max="16384" width="11.5703125" style="174"/>
  </cols>
  <sheetData>
    <row r="1" spans="1:248" ht="13.35" customHeight="1" thickTop="1" thickBot="1" x14ac:dyDescent="0.25">
      <c r="A1" s="175" t="s">
        <v>770</v>
      </c>
      <c r="B1" s="175" t="s">
        <v>387</v>
      </c>
      <c r="C1" s="175" t="s">
        <v>379</v>
      </c>
      <c r="DJ1" s="174">
        <v>2</v>
      </c>
      <c r="DK1" s="174">
        <v>3</v>
      </c>
      <c r="DL1" s="174">
        <v>4</v>
      </c>
      <c r="DM1" s="174">
        <v>5</v>
      </c>
      <c r="DN1" s="174">
        <v>6</v>
      </c>
      <c r="DO1" s="174">
        <v>7</v>
      </c>
      <c r="DP1" s="174">
        <v>8</v>
      </c>
      <c r="DQ1" s="174">
        <v>9</v>
      </c>
      <c r="DR1" s="174">
        <v>10</v>
      </c>
      <c r="DS1" s="174">
        <v>11</v>
      </c>
      <c r="DT1" s="174">
        <v>12</v>
      </c>
      <c r="DU1" s="174">
        <v>13</v>
      </c>
      <c r="DV1" s="174">
        <v>14</v>
      </c>
      <c r="DW1" s="174">
        <v>15</v>
      </c>
      <c r="DX1" s="174">
        <v>16</v>
      </c>
      <c r="DY1" s="174">
        <v>17</v>
      </c>
      <c r="DZ1" s="174">
        <v>18</v>
      </c>
      <c r="EA1" s="174">
        <v>19</v>
      </c>
      <c r="EB1" s="174">
        <v>20</v>
      </c>
      <c r="EE1" s="174">
        <v>2</v>
      </c>
      <c r="EF1" s="174">
        <v>3</v>
      </c>
      <c r="EG1" s="174">
        <v>4</v>
      </c>
      <c r="EH1" s="174">
        <v>5</v>
      </c>
      <c r="EI1" s="174">
        <v>6</v>
      </c>
      <c r="EJ1" s="174">
        <v>7</v>
      </c>
      <c r="EK1" s="174">
        <v>8</v>
      </c>
      <c r="EL1" s="174">
        <v>9</v>
      </c>
      <c r="EO1" s="174">
        <v>2</v>
      </c>
      <c r="EP1" s="174">
        <v>3</v>
      </c>
      <c r="EQ1" s="174">
        <v>4</v>
      </c>
      <c r="ER1" s="174">
        <v>5</v>
      </c>
      <c r="ES1" s="174">
        <v>6</v>
      </c>
      <c r="ET1" s="174">
        <v>7</v>
      </c>
      <c r="EU1" s="174">
        <v>8</v>
      </c>
      <c r="EV1" s="174">
        <v>9</v>
      </c>
      <c r="EW1" s="174">
        <v>10</v>
      </c>
      <c r="EX1" s="174">
        <v>11</v>
      </c>
      <c r="EY1" s="174">
        <v>12</v>
      </c>
      <c r="EZ1" s="174">
        <v>13</v>
      </c>
      <c r="FA1" s="174">
        <v>14</v>
      </c>
      <c r="FB1" s="174">
        <v>15</v>
      </c>
      <c r="FC1" s="174">
        <v>16</v>
      </c>
      <c r="FD1" s="174">
        <v>17</v>
      </c>
      <c r="FE1" s="174">
        <v>18</v>
      </c>
      <c r="FF1" s="174">
        <v>19</v>
      </c>
      <c r="FG1" s="174">
        <v>20</v>
      </c>
      <c r="FH1" s="174">
        <v>21</v>
      </c>
      <c r="FI1" s="174">
        <v>22</v>
      </c>
      <c r="FJ1" s="174">
        <v>23</v>
      </c>
      <c r="FK1" s="174">
        <v>24</v>
      </c>
      <c r="FL1" s="174">
        <v>25</v>
      </c>
      <c r="FM1" s="174">
        <v>26</v>
      </c>
      <c r="FN1" s="174">
        <v>27</v>
      </c>
      <c r="FO1" s="174">
        <v>28</v>
      </c>
      <c r="FP1" s="174">
        <v>29</v>
      </c>
      <c r="FQ1" s="174">
        <v>30</v>
      </c>
      <c r="FR1" s="174">
        <v>31</v>
      </c>
      <c r="FS1" s="174">
        <v>32</v>
      </c>
      <c r="FT1" s="174">
        <v>33</v>
      </c>
      <c r="FU1" s="174">
        <v>34</v>
      </c>
      <c r="FV1" s="174">
        <v>35</v>
      </c>
      <c r="FW1" s="174">
        <v>36</v>
      </c>
      <c r="FX1" s="174">
        <v>37</v>
      </c>
      <c r="FY1" s="174">
        <v>38</v>
      </c>
      <c r="FZ1" s="174">
        <v>39</v>
      </c>
      <c r="GA1" s="174">
        <v>40</v>
      </c>
      <c r="GB1" s="174">
        <v>41</v>
      </c>
      <c r="GC1" s="174">
        <v>42</v>
      </c>
      <c r="GD1" s="174">
        <v>43</v>
      </c>
      <c r="GE1" s="174">
        <v>44</v>
      </c>
      <c r="GF1" s="174">
        <v>45</v>
      </c>
      <c r="GG1" s="174">
        <v>46</v>
      </c>
      <c r="GH1" s="174">
        <v>47</v>
      </c>
      <c r="GI1" s="174">
        <v>48</v>
      </c>
      <c r="GJ1" s="174">
        <v>49</v>
      </c>
      <c r="GK1" s="174">
        <v>50</v>
      </c>
      <c r="GL1" s="174">
        <v>51</v>
      </c>
      <c r="GM1" s="174">
        <v>52</v>
      </c>
      <c r="GN1" s="174">
        <v>53</v>
      </c>
      <c r="GO1" s="174">
        <v>54</v>
      </c>
      <c r="GP1" s="174">
        <v>55</v>
      </c>
      <c r="GQ1" s="174">
        <v>56</v>
      </c>
      <c r="GR1" s="174">
        <v>57</v>
      </c>
      <c r="GS1" s="174">
        <v>58</v>
      </c>
      <c r="GT1" s="174">
        <v>59</v>
      </c>
      <c r="GU1" s="174">
        <v>60</v>
      </c>
      <c r="GV1" s="174">
        <v>61</v>
      </c>
      <c r="GW1" s="174">
        <v>62</v>
      </c>
      <c r="GX1" s="174">
        <v>63</v>
      </c>
      <c r="GY1" s="174">
        <v>64</v>
      </c>
      <c r="GZ1" s="174">
        <v>65</v>
      </c>
      <c r="HB1" s="176" t="s">
        <v>771</v>
      </c>
      <c r="HC1" s="177" t="s">
        <v>772</v>
      </c>
      <c r="HD1" s="177" t="s">
        <v>773</v>
      </c>
      <c r="HE1" s="178" t="s">
        <v>774</v>
      </c>
      <c r="HF1" s="177" t="s">
        <v>775</v>
      </c>
      <c r="HG1" s="179" t="s">
        <v>776</v>
      </c>
      <c r="HH1" s="180" t="s">
        <v>777</v>
      </c>
      <c r="HI1" s="181" t="s">
        <v>778</v>
      </c>
      <c r="HJ1" s="174" t="s">
        <v>746</v>
      </c>
      <c r="HL1" s="182">
        <v>9853</v>
      </c>
      <c r="HM1" s="182">
        <v>7654</v>
      </c>
      <c r="HN1" s="182">
        <v>7543</v>
      </c>
      <c r="HO1" s="182">
        <v>7531</v>
      </c>
      <c r="HP1" s="182">
        <v>7521</v>
      </c>
      <c r="HQ1" s="182">
        <v>7421</v>
      </c>
      <c r="HR1" s="182">
        <v>7321</v>
      </c>
      <c r="HS1" s="182">
        <v>6643</v>
      </c>
      <c r="HT1" s="182">
        <v>6543</v>
      </c>
      <c r="HU1" s="174">
        <v>6521</v>
      </c>
      <c r="HV1" s="174">
        <v>6432</v>
      </c>
      <c r="HW1" s="174">
        <v>6421</v>
      </c>
      <c r="HX1" s="174">
        <v>6321</v>
      </c>
      <c r="HY1" s="174">
        <v>6311</v>
      </c>
      <c r="HZ1" s="174">
        <v>6211</v>
      </c>
      <c r="IA1" s="174">
        <v>5432</v>
      </c>
      <c r="IB1" s="174">
        <v>5322</v>
      </c>
      <c r="IC1" s="174">
        <v>4321</v>
      </c>
      <c r="ID1" s="174">
        <v>3211</v>
      </c>
      <c r="IE1" s="174">
        <v>2111</v>
      </c>
      <c r="IF1" s="174">
        <v>1</v>
      </c>
      <c r="II1" s="174">
        <v>1</v>
      </c>
      <c r="IJ1" s="174">
        <v>2</v>
      </c>
      <c r="IM1" s="174" t="s">
        <v>779</v>
      </c>
      <c r="IN1" s="174" t="s">
        <v>780</v>
      </c>
    </row>
    <row r="2" spans="1:248" ht="13.35" customHeight="1" thickTop="1" thickBot="1" x14ac:dyDescent="0.25">
      <c r="A2" s="183">
        <v>1</v>
      </c>
      <c r="B2" s="184">
        <f t="shared" ref="B2:B11" si="0">ROUNDDOWN((A2-21)/2,0)</f>
        <v>-10</v>
      </c>
      <c r="C2" s="183">
        <v>1</v>
      </c>
      <c r="E2" s="174" t="s">
        <v>781</v>
      </c>
      <c r="F2" s="174" t="s">
        <v>782</v>
      </c>
      <c r="G2" s="174" t="s">
        <v>783</v>
      </c>
      <c r="H2" s="174" t="s">
        <v>784</v>
      </c>
      <c r="I2" s="174" t="s">
        <v>785</v>
      </c>
      <c r="J2" s="174" t="s">
        <v>786</v>
      </c>
      <c r="K2" s="174" t="s">
        <v>787</v>
      </c>
      <c r="L2" s="174" t="s">
        <v>788</v>
      </c>
      <c r="M2" s="174" t="s">
        <v>789</v>
      </c>
      <c r="N2" s="174" t="s">
        <v>790</v>
      </c>
      <c r="O2" s="174" t="s">
        <v>791</v>
      </c>
      <c r="P2" s="174" t="s">
        <v>792</v>
      </c>
      <c r="Q2" s="174" t="s">
        <v>793</v>
      </c>
      <c r="R2" s="174" t="s">
        <v>794</v>
      </c>
      <c r="S2" s="174" t="s">
        <v>182</v>
      </c>
      <c r="T2" s="174" t="s">
        <v>795</v>
      </c>
      <c r="U2" s="174" t="s">
        <v>796</v>
      </c>
      <c r="V2" s="174" t="s">
        <v>797</v>
      </c>
      <c r="W2" s="174" t="s">
        <v>798</v>
      </c>
      <c r="X2" s="174" t="s">
        <v>799</v>
      </c>
      <c r="Y2" s="174" t="s">
        <v>800</v>
      </c>
      <c r="AA2" s="174" t="s">
        <v>801</v>
      </c>
      <c r="AB2" s="174" t="s">
        <v>802</v>
      </c>
      <c r="AC2" s="174" t="s">
        <v>803</v>
      </c>
      <c r="AD2" s="174" t="s">
        <v>804</v>
      </c>
      <c r="AF2" s="174" t="s">
        <v>805</v>
      </c>
      <c r="AG2" s="174" t="s">
        <v>806</v>
      </c>
      <c r="AH2" s="174" t="s">
        <v>807</v>
      </c>
      <c r="AJ2" s="174" t="s">
        <v>808</v>
      </c>
      <c r="AK2" s="174" t="s">
        <v>809</v>
      </c>
      <c r="AL2" s="174" t="s">
        <v>810</v>
      </c>
      <c r="AM2" s="174" t="s">
        <v>811</v>
      </c>
      <c r="AO2" s="174" t="s">
        <v>812</v>
      </c>
      <c r="AP2" s="174" t="s">
        <v>813</v>
      </c>
      <c r="AQ2" s="174" t="s">
        <v>814</v>
      </c>
      <c r="AS2" s="174" t="s">
        <v>815</v>
      </c>
      <c r="AT2" s="174" t="s">
        <v>816</v>
      </c>
      <c r="AU2" s="174" t="s">
        <v>817</v>
      </c>
      <c r="AV2" s="174" t="s">
        <v>818</v>
      </c>
      <c r="AW2" s="174" t="s">
        <v>819</v>
      </c>
      <c r="AX2" s="174" t="s">
        <v>820</v>
      </c>
      <c r="AY2" s="174" t="s">
        <v>821</v>
      </c>
      <c r="AZ2" s="174" t="s">
        <v>822</v>
      </c>
      <c r="BA2" s="174" t="s">
        <v>823</v>
      </c>
      <c r="BB2" s="174" t="s">
        <v>824</v>
      </c>
      <c r="BC2" s="174" t="s">
        <v>825</v>
      </c>
      <c r="BD2" s="174" t="s">
        <v>826</v>
      </c>
      <c r="BE2" s="174" t="s">
        <v>827</v>
      </c>
      <c r="BF2" s="174" t="s">
        <v>828</v>
      </c>
      <c r="BG2" s="174" t="s">
        <v>829</v>
      </c>
      <c r="BH2" s="174" t="s">
        <v>830</v>
      </c>
      <c r="BI2" s="174" t="s">
        <v>831</v>
      </c>
      <c r="BJ2" s="174" t="s">
        <v>832</v>
      </c>
      <c r="BK2" s="174" t="s">
        <v>833</v>
      </c>
      <c r="BL2" s="174" t="s">
        <v>834</v>
      </c>
      <c r="BM2" s="174" t="s">
        <v>835</v>
      </c>
      <c r="BN2" s="174" t="s">
        <v>836</v>
      </c>
      <c r="BO2" s="174" t="s">
        <v>837</v>
      </c>
      <c r="BP2" s="174" t="s">
        <v>838</v>
      </c>
      <c r="BQ2" s="174" t="s">
        <v>839</v>
      </c>
      <c r="BR2" s="174" t="s">
        <v>840</v>
      </c>
      <c r="BS2" s="174" t="s">
        <v>841</v>
      </c>
      <c r="BT2" s="174" t="s">
        <v>842</v>
      </c>
      <c r="BU2" s="174" t="s">
        <v>843</v>
      </c>
      <c r="BV2" s="174" t="s">
        <v>844</v>
      </c>
      <c r="BW2" s="174" t="s">
        <v>845</v>
      </c>
      <c r="BX2" s="174" t="s">
        <v>846</v>
      </c>
      <c r="BY2" s="174" t="s">
        <v>847</v>
      </c>
      <c r="BZ2" s="174" t="s">
        <v>848</v>
      </c>
      <c r="CA2" s="174" t="s">
        <v>849</v>
      </c>
      <c r="CB2" s="174" t="s">
        <v>850</v>
      </c>
      <c r="CC2" s="174" t="s">
        <v>851</v>
      </c>
      <c r="CD2" s="174" t="s">
        <v>852</v>
      </c>
      <c r="CE2" s="174" t="s">
        <v>853</v>
      </c>
      <c r="CF2" s="174" t="s">
        <v>854</v>
      </c>
      <c r="CG2" s="174" t="s">
        <v>855</v>
      </c>
      <c r="CH2" s="174" t="s">
        <v>856</v>
      </c>
      <c r="CI2" s="174" t="s">
        <v>857</v>
      </c>
      <c r="CJ2" s="174" t="s">
        <v>858</v>
      </c>
      <c r="CK2" s="174" t="s">
        <v>859</v>
      </c>
      <c r="CL2" s="174" t="s">
        <v>860</v>
      </c>
      <c r="CM2" s="174" t="s">
        <v>861</v>
      </c>
      <c r="CN2" s="174" t="s">
        <v>862</v>
      </c>
      <c r="CO2" s="174" t="s">
        <v>863</v>
      </c>
      <c r="CP2" s="174" t="s">
        <v>864</v>
      </c>
      <c r="CQ2" s="174" t="s">
        <v>865</v>
      </c>
      <c r="CS2" s="174" t="s">
        <v>866</v>
      </c>
      <c r="CT2" s="174" t="s">
        <v>867</v>
      </c>
      <c r="CU2" s="174" t="s">
        <v>868</v>
      </c>
      <c r="CV2" s="174" t="s">
        <v>869</v>
      </c>
      <c r="CX2" s="174" t="s">
        <v>870</v>
      </c>
      <c r="CY2" s="174" t="s">
        <v>871</v>
      </c>
      <c r="CZ2" s="174" t="s">
        <v>872</v>
      </c>
      <c r="DA2" s="174" t="s">
        <v>873</v>
      </c>
      <c r="DB2" s="174" t="s">
        <v>874</v>
      </c>
      <c r="DC2" s="174" t="s">
        <v>875</v>
      </c>
      <c r="DD2" s="174" t="s">
        <v>876</v>
      </c>
      <c r="DE2" s="174" t="s">
        <v>877</v>
      </c>
      <c r="DI2" s="182" t="s">
        <v>208</v>
      </c>
      <c r="DJ2" s="174" t="s">
        <v>445</v>
      </c>
      <c r="DK2" s="174" t="s">
        <v>408</v>
      </c>
      <c r="DL2" s="174" t="s">
        <v>878</v>
      </c>
      <c r="DM2" s="174" t="s">
        <v>418</v>
      </c>
      <c r="DN2" s="174" t="s">
        <v>432</v>
      </c>
      <c r="DO2" s="174" t="s">
        <v>403</v>
      </c>
      <c r="DP2" s="174" t="s">
        <v>451</v>
      </c>
      <c r="DQ2" s="174" t="s">
        <v>428</v>
      </c>
      <c r="DR2" s="174" t="s">
        <v>481</v>
      </c>
      <c r="DS2" s="174" t="s">
        <v>464</v>
      </c>
      <c r="DT2" s="174" t="s">
        <v>879</v>
      </c>
      <c r="DU2" s="174" t="s">
        <v>880</v>
      </c>
      <c r="DV2" s="174" t="s">
        <v>881</v>
      </c>
      <c r="DW2" s="174" t="s">
        <v>882</v>
      </c>
      <c r="DX2" s="174" t="s">
        <v>883</v>
      </c>
      <c r="DY2" s="174" t="s">
        <v>884</v>
      </c>
      <c r="DZ2" s="174" t="s">
        <v>885</v>
      </c>
      <c r="EA2" s="174" t="s">
        <v>886</v>
      </c>
      <c r="EB2" s="174" t="s">
        <v>186</v>
      </c>
      <c r="ED2" s="174" t="s">
        <v>208</v>
      </c>
      <c r="EE2" s="174" t="s">
        <v>242</v>
      </c>
      <c r="EF2" s="174" t="s">
        <v>243</v>
      </c>
      <c r="EG2" s="174" t="s">
        <v>244</v>
      </c>
      <c r="EH2" s="174" t="s">
        <v>887</v>
      </c>
      <c r="EI2" s="174" t="s">
        <v>888</v>
      </c>
      <c r="EJ2" s="174" t="s">
        <v>889</v>
      </c>
      <c r="EK2" s="174" t="s">
        <v>890</v>
      </c>
      <c r="EL2" s="174" t="s">
        <v>506</v>
      </c>
      <c r="EO2" s="185" t="s">
        <v>891</v>
      </c>
      <c r="EP2" s="185" t="s">
        <v>891</v>
      </c>
      <c r="EQ2" s="185" t="s">
        <v>892</v>
      </c>
      <c r="ER2" s="185" t="s">
        <v>892</v>
      </c>
      <c r="ES2" s="174" t="s">
        <v>893</v>
      </c>
      <c r="ET2" s="185" t="s">
        <v>893</v>
      </c>
      <c r="EU2" s="185" t="s">
        <v>893</v>
      </c>
      <c r="EV2" s="185" t="s">
        <v>893</v>
      </c>
      <c r="EW2" s="185" t="s">
        <v>893</v>
      </c>
      <c r="EX2" s="185" t="s">
        <v>894</v>
      </c>
      <c r="EY2" s="174" t="s">
        <v>893</v>
      </c>
      <c r="EZ2" s="174" t="s">
        <v>893</v>
      </c>
      <c r="FA2" s="174" t="s">
        <v>893</v>
      </c>
      <c r="FB2" s="185" t="s">
        <v>895</v>
      </c>
      <c r="FC2" s="185" t="s">
        <v>4171</v>
      </c>
      <c r="FD2" s="185" t="s">
        <v>4173</v>
      </c>
      <c r="FE2" s="185" t="s">
        <v>4172</v>
      </c>
      <c r="FF2" s="185" t="s">
        <v>899</v>
      </c>
      <c r="FG2" s="185" t="s">
        <v>900</v>
      </c>
      <c r="FH2" s="185" t="s">
        <v>901</v>
      </c>
      <c r="FI2" s="185" t="s">
        <v>902</v>
      </c>
      <c r="FJ2" s="185" t="s">
        <v>902</v>
      </c>
      <c r="FK2" s="185" t="s">
        <v>902</v>
      </c>
      <c r="FL2" s="185" t="s">
        <v>902</v>
      </c>
      <c r="FM2" s="185" t="s">
        <v>902</v>
      </c>
      <c r="FN2" s="185" t="s">
        <v>902</v>
      </c>
      <c r="FO2" s="185" t="s">
        <v>902</v>
      </c>
      <c r="FP2" s="185" t="s">
        <v>902</v>
      </c>
      <c r="FQ2" s="185" t="s">
        <v>903</v>
      </c>
      <c r="FR2" s="185" t="s">
        <v>904</v>
      </c>
      <c r="FS2" s="185" t="s">
        <v>905</v>
      </c>
      <c r="FT2" s="185" t="s">
        <v>905</v>
      </c>
      <c r="FU2" s="185" t="s">
        <v>905</v>
      </c>
      <c r="FV2" s="185" t="s">
        <v>906</v>
      </c>
      <c r="FW2" s="185" t="s">
        <v>906</v>
      </c>
      <c r="FX2" s="185" t="s">
        <v>906</v>
      </c>
      <c r="FY2" s="185" t="s">
        <v>906</v>
      </c>
      <c r="FZ2" s="185" t="s">
        <v>907</v>
      </c>
      <c r="GA2" s="185" t="s">
        <v>907</v>
      </c>
      <c r="GB2" s="185" t="s">
        <v>907</v>
      </c>
      <c r="GC2" s="185" t="s">
        <v>907</v>
      </c>
      <c r="GD2" s="174" t="s">
        <v>907</v>
      </c>
      <c r="GE2" s="185" t="s">
        <v>907</v>
      </c>
      <c r="GF2" s="185" t="s">
        <v>907</v>
      </c>
      <c r="GG2" s="185" t="s">
        <v>907</v>
      </c>
      <c r="GH2" s="185" t="s">
        <v>907</v>
      </c>
      <c r="GI2" s="185" t="s">
        <v>908</v>
      </c>
      <c r="GJ2" s="185" t="s">
        <v>909</v>
      </c>
      <c r="GK2" s="185" t="s">
        <v>910</v>
      </c>
      <c r="GL2" s="185" t="s">
        <v>911</v>
      </c>
      <c r="GM2" s="185" t="s">
        <v>912</v>
      </c>
      <c r="GN2" s="185" t="s">
        <v>913</v>
      </c>
      <c r="GO2" s="185" t="s">
        <v>914</v>
      </c>
      <c r="GP2" s="185" t="s">
        <v>915</v>
      </c>
      <c r="GQ2" s="185" t="s">
        <v>916</v>
      </c>
      <c r="GR2" s="174" t="s">
        <v>916</v>
      </c>
      <c r="GS2" s="174" t="s">
        <v>917</v>
      </c>
      <c r="GT2" s="174" t="s">
        <v>917</v>
      </c>
      <c r="GU2" s="174" t="s">
        <v>917</v>
      </c>
      <c r="GV2" s="174" t="s">
        <v>917</v>
      </c>
      <c r="GW2" s="174" t="s">
        <v>917</v>
      </c>
      <c r="GX2" s="174" t="s">
        <v>917</v>
      </c>
      <c r="HB2" s="186" t="s">
        <v>918</v>
      </c>
      <c r="HC2" s="187" t="s">
        <v>919</v>
      </c>
      <c r="HD2" s="187" t="s">
        <v>920</v>
      </c>
      <c r="HE2" s="187" t="s">
        <v>921</v>
      </c>
      <c r="HF2" s="187" t="s">
        <v>922</v>
      </c>
      <c r="HG2" s="187" t="s">
        <v>923</v>
      </c>
      <c r="HH2" s="187" t="s">
        <v>924</v>
      </c>
      <c r="HI2" s="188" t="s">
        <v>925</v>
      </c>
      <c r="HJ2" s="187" t="s">
        <v>926</v>
      </c>
      <c r="HK2" s="174">
        <v>0</v>
      </c>
      <c r="HL2" s="174">
        <v>0</v>
      </c>
      <c r="HM2" s="174">
        <v>0</v>
      </c>
      <c r="HN2" s="174">
        <v>0</v>
      </c>
      <c r="HO2" s="174">
        <v>0</v>
      </c>
      <c r="HP2" s="174">
        <v>0</v>
      </c>
      <c r="HQ2" s="174">
        <v>0</v>
      </c>
      <c r="HR2" s="174">
        <v>0</v>
      </c>
      <c r="HS2" s="174">
        <v>0</v>
      </c>
      <c r="HT2" s="174">
        <v>0</v>
      </c>
      <c r="HU2" s="174">
        <v>0</v>
      </c>
      <c r="HV2" s="174">
        <v>0</v>
      </c>
      <c r="HW2" s="174">
        <v>0</v>
      </c>
      <c r="HX2" s="174">
        <v>0</v>
      </c>
      <c r="HY2" s="174">
        <v>0</v>
      </c>
      <c r="HZ2" s="174">
        <v>0</v>
      </c>
      <c r="IA2" s="174">
        <v>0</v>
      </c>
      <c r="IB2" s="174">
        <v>0</v>
      </c>
      <c r="IC2" s="174">
        <v>0</v>
      </c>
      <c r="ID2" s="174">
        <v>0</v>
      </c>
      <c r="IE2" s="174">
        <v>0</v>
      </c>
      <c r="IF2" s="174">
        <v>2</v>
      </c>
      <c r="II2" s="174">
        <f>Skills!K312</f>
        <v>-14.509999000000001</v>
      </c>
      <c r="IJ2" s="174" t="str">
        <f>Skills!B312</f>
        <v>1-H Krush</v>
      </c>
      <c r="IM2" s="174">
        <v>0</v>
      </c>
      <c r="IN2" s="174">
        <v>0</v>
      </c>
    </row>
    <row r="3" spans="1:248" ht="13.35" customHeight="1" thickTop="1" thickBot="1" x14ac:dyDescent="0.25">
      <c r="A3" s="183">
        <f t="shared" ref="A3:A66" si="1">A2+1</f>
        <v>2</v>
      </c>
      <c r="B3" s="184">
        <f t="shared" si="0"/>
        <v>-9</v>
      </c>
      <c r="C3" s="183">
        <f t="shared" ref="C3:C66" si="2">C2+1</f>
        <v>2</v>
      </c>
      <c r="E3" s="189" t="s">
        <v>399</v>
      </c>
      <c r="F3" s="190" t="s">
        <v>927</v>
      </c>
      <c r="G3" s="190" t="s">
        <v>928</v>
      </c>
      <c r="H3" s="190" t="s">
        <v>929</v>
      </c>
      <c r="I3" s="190" t="s">
        <v>930</v>
      </c>
      <c r="J3" s="190" t="s">
        <v>928</v>
      </c>
      <c r="K3" s="190" t="s">
        <v>931</v>
      </c>
      <c r="L3" s="190" t="s">
        <v>931</v>
      </c>
      <c r="M3" s="190" t="s">
        <v>931</v>
      </c>
      <c r="N3" s="190" t="s">
        <v>931</v>
      </c>
      <c r="O3" s="190" t="s">
        <v>932</v>
      </c>
      <c r="P3" s="190" t="s">
        <v>933</v>
      </c>
      <c r="Q3" s="190" t="s">
        <v>932</v>
      </c>
      <c r="R3" s="190" t="s">
        <v>932</v>
      </c>
      <c r="S3" s="190" t="s">
        <v>931</v>
      </c>
      <c r="T3" s="190" t="s">
        <v>933</v>
      </c>
      <c r="U3" s="190" t="s">
        <v>929</v>
      </c>
      <c r="V3" s="190" t="s">
        <v>931</v>
      </c>
      <c r="W3" s="190" t="s">
        <v>931</v>
      </c>
      <c r="X3" s="190" t="s">
        <v>933</v>
      </c>
      <c r="Y3" s="190" t="s">
        <v>934</v>
      </c>
      <c r="Z3" s="190"/>
      <c r="AA3" s="190" t="s">
        <v>931</v>
      </c>
      <c r="AB3" s="190" t="s">
        <v>931</v>
      </c>
      <c r="AC3" s="190" t="s">
        <v>935</v>
      </c>
      <c r="AD3" s="190" t="s">
        <v>932</v>
      </c>
      <c r="AE3" s="190"/>
      <c r="AF3" s="190" t="s">
        <v>931</v>
      </c>
      <c r="AG3" s="190" t="s">
        <v>931</v>
      </c>
      <c r="AH3" s="190" t="s">
        <v>930</v>
      </c>
      <c r="AI3" s="190"/>
      <c r="AJ3" s="190" t="s">
        <v>928</v>
      </c>
      <c r="AK3" s="190" t="s">
        <v>932</v>
      </c>
      <c r="AL3" s="190" t="s">
        <v>932</v>
      </c>
      <c r="AM3" s="190" t="s">
        <v>932</v>
      </c>
      <c r="AN3" s="190"/>
      <c r="AO3" s="190" t="s">
        <v>931</v>
      </c>
      <c r="AP3" s="190" t="s">
        <v>932</v>
      </c>
      <c r="AQ3" s="190" t="s">
        <v>932</v>
      </c>
      <c r="AR3" s="190"/>
      <c r="AS3" s="190" t="s">
        <v>931</v>
      </c>
      <c r="AT3" s="190" t="s">
        <v>931</v>
      </c>
      <c r="AU3" s="190" t="s">
        <v>931</v>
      </c>
      <c r="AV3" s="190" t="s">
        <v>931</v>
      </c>
      <c r="AW3" s="190" t="s">
        <v>931</v>
      </c>
      <c r="AX3" s="190" t="s">
        <v>931</v>
      </c>
      <c r="AY3" s="190" t="s">
        <v>931</v>
      </c>
      <c r="AZ3" s="190" t="s">
        <v>931</v>
      </c>
      <c r="BA3" s="190" t="s">
        <v>931</v>
      </c>
      <c r="BB3" s="190" t="s">
        <v>931</v>
      </c>
      <c r="BC3" s="190" t="s">
        <v>931</v>
      </c>
      <c r="BD3" s="190" t="s">
        <v>931</v>
      </c>
      <c r="BE3" s="190" t="s">
        <v>931</v>
      </c>
      <c r="BF3" s="190" t="s">
        <v>931</v>
      </c>
      <c r="BG3" s="190" t="s">
        <v>931</v>
      </c>
      <c r="BH3" s="190" t="s">
        <v>931</v>
      </c>
      <c r="BI3" s="190" t="s">
        <v>931</v>
      </c>
      <c r="BJ3" s="190" t="s">
        <v>931</v>
      </c>
      <c r="BK3" s="190" t="s">
        <v>931</v>
      </c>
      <c r="BL3" s="190" t="s">
        <v>931</v>
      </c>
      <c r="BM3" s="190" t="s">
        <v>931</v>
      </c>
      <c r="BN3" s="190" t="s">
        <v>931</v>
      </c>
      <c r="BO3" s="190" t="s">
        <v>931</v>
      </c>
      <c r="BP3" s="190" t="s">
        <v>931</v>
      </c>
      <c r="BQ3" s="190" t="s">
        <v>931</v>
      </c>
      <c r="BR3" s="190" t="s">
        <v>931</v>
      </c>
      <c r="BS3" s="190" t="s">
        <v>931</v>
      </c>
      <c r="BT3" s="190" t="s">
        <v>931</v>
      </c>
      <c r="BU3" s="190" t="s">
        <v>931</v>
      </c>
      <c r="BV3" s="190" t="s">
        <v>931</v>
      </c>
      <c r="BW3" s="190" t="s">
        <v>931</v>
      </c>
      <c r="BX3" s="190" t="s">
        <v>931</v>
      </c>
      <c r="BY3" s="190" t="s">
        <v>931</v>
      </c>
      <c r="BZ3" s="190" t="s">
        <v>931</v>
      </c>
      <c r="CA3" s="190" t="s">
        <v>931</v>
      </c>
      <c r="CB3" s="190" t="s">
        <v>931</v>
      </c>
      <c r="CC3" s="190" t="s">
        <v>931</v>
      </c>
      <c r="CD3" s="190" t="s">
        <v>931</v>
      </c>
      <c r="CE3" s="190" t="s">
        <v>931</v>
      </c>
      <c r="CF3" s="190" t="s">
        <v>931</v>
      </c>
      <c r="CG3" s="190" t="s">
        <v>931</v>
      </c>
      <c r="CH3" s="190" t="s">
        <v>931</v>
      </c>
      <c r="CI3" s="190" t="s">
        <v>931</v>
      </c>
      <c r="CJ3" s="190" t="s">
        <v>931</v>
      </c>
      <c r="CK3" s="190" t="s">
        <v>931</v>
      </c>
      <c r="CL3" s="190" t="s">
        <v>931</v>
      </c>
      <c r="CM3" s="190" t="s">
        <v>931</v>
      </c>
      <c r="CN3" s="190" t="s">
        <v>931</v>
      </c>
      <c r="CO3" s="190" t="s">
        <v>931</v>
      </c>
      <c r="CP3" s="190" t="s">
        <v>931</v>
      </c>
      <c r="CQ3" s="190" t="s">
        <v>931</v>
      </c>
      <c r="CR3" s="190"/>
      <c r="CS3" s="190" t="s">
        <v>930</v>
      </c>
      <c r="CT3" s="190" t="s">
        <v>928</v>
      </c>
      <c r="CU3" s="190" t="s">
        <v>931</v>
      </c>
      <c r="CV3" s="190" t="s">
        <v>934</v>
      </c>
      <c r="CW3" s="190"/>
      <c r="CX3" s="190" t="s">
        <v>933</v>
      </c>
      <c r="CY3" s="190" t="s">
        <v>931</v>
      </c>
      <c r="CZ3" s="190" t="s">
        <v>931</v>
      </c>
      <c r="DA3" s="190" t="s">
        <v>930</v>
      </c>
      <c r="DB3" s="190" t="s">
        <v>933</v>
      </c>
      <c r="DC3" s="190" t="s">
        <v>931</v>
      </c>
      <c r="DD3" s="190" t="s">
        <v>933</v>
      </c>
      <c r="DE3" s="190"/>
      <c r="DF3" s="174">
        <v>2</v>
      </c>
      <c r="DH3" s="182" t="s">
        <v>936</v>
      </c>
      <c r="DI3" s="182" t="s">
        <v>937</v>
      </c>
      <c r="DJ3" s="182">
        <v>4</v>
      </c>
      <c r="DK3" s="182"/>
      <c r="DL3" s="182"/>
      <c r="DM3" s="182"/>
      <c r="DN3" s="182"/>
      <c r="DO3" s="182">
        <v>4</v>
      </c>
      <c r="DP3" s="182"/>
      <c r="DQ3" s="182">
        <v>2</v>
      </c>
      <c r="DR3" s="182"/>
      <c r="DS3" s="182"/>
      <c r="DT3" s="182"/>
      <c r="DU3" s="182"/>
      <c r="DV3" s="182"/>
      <c r="DW3" s="182">
        <v>5</v>
      </c>
      <c r="DX3" s="182">
        <v>15</v>
      </c>
      <c r="DY3" s="182">
        <v>10</v>
      </c>
      <c r="DZ3" s="182">
        <v>4</v>
      </c>
      <c r="EA3" s="182">
        <v>0.75</v>
      </c>
      <c r="EB3" s="182">
        <f>DZ3*10</f>
        <v>40</v>
      </c>
      <c r="ED3" s="174" t="s">
        <v>937</v>
      </c>
      <c r="EE3" s="174">
        <v>6543</v>
      </c>
      <c r="EF3" s="174">
        <v>6543</v>
      </c>
      <c r="EG3" s="174">
        <v>7654</v>
      </c>
      <c r="EH3" s="174">
        <v>6453</v>
      </c>
      <c r="EI3" s="174">
        <v>6543</v>
      </c>
      <c r="EJ3" s="174">
        <v>6543</v>
      </c>
      <c r="EK3" s="174">
        <v>6543</v>
      </c>
      <c r="EL3" s="174">
        <v>7531</v>
      </c>
      <c r="EO3" s="174" t="s">
        <v>938</v>
      </c>
      <c r="EP3" s="174" t="s">
        <v>939</v>
      </c>
      <c r="EQ3" s="185" t="s">
        <v>940</v>
      </c>
      <c r="ER3" s="174" t="s">
        <v>941</v>
      </c>
      <c r="ES3" s="174" t="s">
        <v>942</v>
      </c>
      <c r="ET3" s="185" t="s">
        <v>943</v>
      </c>
      <c r="EU3" s="185" t="s">
        <v>944</v>
      </c>
      <c r="EV3" s="185" t="s">
        <v>945</v>
      </c>
      <c r="EW3" s="185" t="s">
        <v>946</v>
      </c>
      <c r="EX3" s="185" t="s">
        <v>894</v>
      </c>
      <c r="EY3" s="174" t="s">
        <v>937</v>
      </c>
      <c r="EZ3" s="174" t="s">
        <v>947</v>
      </c>
      <c r="FA3" s="174" t="s">
        <v>948</v>
      </c>
      <c r="FB3" s="185" t="s">
        <v>895</v>
      </c>
      <c r="FC3" s="185" t="s">
        <v>4171</v>
      </c>
      <c r="FD3" s="185" t="s">
        <v>4173</v>
      </c>
      <c r="FE3" s="185" t="s">
        <v>4172</v>
      </c>
      <c r="FF3" s="185" t="s">
        <v>899</v>
      </c>
      <c r="FG3" s="185" t="s">
        <v>949</v>
      </c>
      <c r="FH3" s="185" t="s">
        <v>178</v>
      </c>
      <c r="FI3" s="185" t="s">
        <v>950</v>
      </c>
      <c r="FJ3" s="185" t="s">
        <v>951</v>
      </c>
      <c r="FK3" s="185" t="s">
        <v>952</v>
      </c>
      <c r="FL3" s="185" t="s">
        <v>953</v>
      </c>
      <c r="FM3" s="185" t="s">
        <v>954</v>
      </c>
      <c r="FN3" s="185" t="s">
        <v>955</v>
      </c>
      <c r="FO3" s="185" t="s">
        <v>956</v>
      </c>
      <c r="FP3" s="174" t="s">
        <v>957</v>
      </c>
      <c r="FQ3" s="185" t="s">
        <v>958</v>
      </c>
      <c r="FR3" s="185" t="s">
        <v>959</v>
      </c>
      <c r="FS3" s="185" t="s">
        <v>960</v>
      </c>
      <c r="FT3" s="185" t="s">
        <v>961</v>
      </c>
      <c r="FU3" s="185" t="s">
        <v>962</v>
      </c>
      <c r="FV3" s="185" t="s">
        <v>906</v>
      </c>
      <c r="FW3" s="185" t="s">
        <v>963</v>
      </c>
      <c r="FX3" s="185" t="s">
        <v>964</v>
      </c>
      <c r="FY3" s="185" t="s">
        <v>965</v>
      </c>
      <c r="FZ3" s="185" t="s">
        <v>966</v>
      </c>
      <c r="GA3" s="185" t="s">
        <v>967</v>
      </c>
      <c r="GB3" s="185" t="s">
        <v>968</v>
      </c>
      <c r="GC3" s="185" t="s">
        <v>969</v>
      </c>
      <c r="GD3" s="174" t="s">
        <v>970</v>
      </c>
      <c r="GE3" s="185" t="s">
        <v>971</v>
      </c>
      <c r="GF3" s="185" t="s">
        <v>972</v>
      </c>
      <c r="GG3" s="185" t="s">
        <v>973</v>
      </c>
      <c r="GH3" s="185" t="s">
        <v>974</v>
      </c>
      <c r="GI3" s="185" t="s">
        <v>908</v>
      </c>
      <c r="GJ3" s="185" t="s">
        <v>909</v>
      </c>
      <c r="GK3" s="185" t="s">
        <v>910</v>
      </c>
      <c r="GL3" s="185" t="s">
        <v>911</v>
      </c>
      <c r="GM3" s="185" t="s">
        <v>975</v>
      </c>
      <c r="GN3" s="185" t="s">
        <v>913</v>
      </c>
      <c r="GO3" s="185" t="s">
        <v>914</v>
      </c>
      <c r="GP3" s="185" t="s">
        <v>915</v>
      </c>
      <c r="GQ3" s="185" t="s">
        <v>976</v>
      </c>
      <c r="GR3" s="174" t="s">
        <v>977</v>
      </c>
      <c r="GS3" s="174" t="s">
        <v>978</v>
      </c>
      <c r="GT3" s="174" t="s">
        <v>979</v>
      </c>
      <c r="GU3" s="174" t="s">
        <v>980</v>
      </c>
      <c r="GV3" s="174" t="s">
        <v>981</v>
      </c>
      <c r="GW3" s="174" t="s">
        <v>982</v>
      </c>
      <c r="GX3" s="174" t="s">
        <v>983</v>
      </c>
      <c r="GY3" s="174" t="s">
        <v>984</v>
      </c>
      <c r="GZ3" s="174" t="s">
        <v>985</v>
      </c>
      <c r="HA3" s="174">
        <v>2</v>
      </c>
      <c r="HB3" s="191">
        <v>0</v>
      </c>
      <c r="HC3" s="192">
        <v>-15</v>
      </c>
      <c r="HD3" s="192">
        <v>-15</v>
      </c>
      <c r="HE3" s="193">
        <v>0</v>
      </c>
      <c r="HF3" s="192">
        <v>-30</v>
      </c>
      <c r="HG3" s="194" t="e">
        <f t="shared" ref="HG3:HG66" si="3">HLOOKUP($B$154,$HK$1:$IF$202,$IF2,0)</f>
        <v>#N/A</v>
      </c>
      <c r="HH3" s="183" t="e">
        <f>HLOOKUP($B$155,$HK1:$IG202,$IF2,0)</f>
        <v>#N/A</v>
      </c>
      <c r="HI3" s="195">
        <v>0</v>
      </c>
      <c r="HJ3" s="185">
        <v>-30</v>
      </c>
      <c r="HK3" s="174">
        <v>1</v>
      </c>
      <c r="HL3" s="174">
        <v>9</v>
      </c>
      <c r="HM3" s="174">
        <v>7</v>
      </c>
      <c r="HN3" s="174">
        <v>7</v>
      </c>
      <c r="HO3" s="174">
        <v>7</v>
      </c>
      <c r="HP3" s="174">
        <v>7</v>
      </c>
      <c r="HQ3" s="174">
        <v>7</v>
      </c>
      <c r="HR3" s="174">
        <v>7</v>
      </c>
      <c r="HS3" s="174">
        <v>6</v>
      </c>
      <c r="HT3" s="174">
        <v>6</v>
      </c>
      <c r="HU3" s="174">
        <v>6</v>
      </c>
      <c r="HV3" s="174">
        <v>6</v>
      </c>
      <c r="HW3" s="174">
        <v>6</v>
      </c>
      <c r="HX3" s="174">
        <v>6</v>
      </c>
      <c r="HY3" s="174">
        <v>6</v>
      </c>
      <c r="HZ3" s="174">
        <v>6</v>
      </c>
      <c r="IA3" s="174">
        <v>5</v>
      </c>
      <c r="IB3" s="174">
        <v>5</v>
      </c>
      <c r="IC3" s="174">
        <v>4</v>
      </c>
      <c r="ID3" s="174">
        <v>3</v>
      </c>
      <c r="IE3" s="174">
        <v>2</v>
      </c>
      <c r="IF3" s="174">
        <v>3</v>
      </c>
      <c r="II3" s="174">
        <f>Skills!K313</f>
        <v>-14.509998</v>
      </c>
      <c r="IJ3" s="174" t="str">
        <f>Skills!B313</f>
        <v>1-H Krush</v>
      </c>
      <c r="IM3" s="174">
        <v>10000</v>
      </c>
      <c r="IN3" s="174">
        <v>1</v>
      </c>
    </row>
    <row r="4" spans="1:248" ht="13.35" customHeight="1" thickBot="1" x14ac:dyDescent="0.25">
      <c r="A4" s="183">
        <f t="shared" si="1"/>
        <v>3</v>
      </c>
      <c r="B4" s="184">
        <f t="shared" si="0"/>
        <v>-9</v>
      </c>
      <c r="C4" s="183">
        <f t="shared" si="2"/>
        <v>3</v>
      </c>
      <c r="E4" s="196" t="s">
        <v>405</v>
      </c>
      <c r="F4" s="190" t="s">
        <v>986</v>
      </c>
      <c r="G4" s="190" t="s">
        <v>927</v>
      </c>
      <c r="H4" s="190" t="s">
        <v>986</v>
      </c>
      <c r="I4" s="190" t="s">
        <v>987</v>
      </c>
      <c r="J4" s="190" t="s">
        <v>927</v>
      </c>
      <c r="K4" s="190" t="s">
        <v>987</v>
      </c>
      <c r="L4" s="190" t="s">
        <v>987</v>
      </c>
      <c r="M4" s="190" t="s">
        <v>927</v>
      </c>
      <c r="N4" s="190" t="s">
        <v>927</v>
      </c>
      <c r="O4" s="190" t="s">
        <v>928</v>
      </c>
      <c r="P4" s="190" t="s">
        <v>927</v>
      </c>
      <c r="Q4" s="190" t="s">
        <v>928</v>
      </c>
      <c r="R4" s="190" t="s">
        <v>928</v>
      </c>
      <c r="S4" s="190" t="s">
        <v>987</v>
      </c>
      <c r="T4" s="190" t="s">
        <v>927</v>
      </c>
      <c r="U4" s="190" t="s">
        <v>986</v>
      </c>
      <c r="V4" s="190" t="s">
        <v>987</v>
      </c>
      <c r="W4" s="190" t="s">
        <v>933</v>
      </c>
      <c r="X4" s="190" t="s">
        <v>927</v>
      </c>
      <c r="Y4" s="190" t="s">
        <v>927</v>
      </c>
      <c r="Z4" s="190"/>
      <c r="AA4" s="190" t="s">
        <v>987</v>
      </c>
      <c r="AB4" s="190" t="s">
        <v>987</v>
      </c>
      <c r="AC4" s="190" t="s">
        <v>934</v>
      </c>
      <c r="AD4" s="190" t="s">
        <v>933</v>
      </c>
      <c r="AE4" s="190"/>
      <c r="AF4" s="190" t="s">
        <v>987</v>
      </c>
      <c r="AG4" s="190" t="s">
        <v>987</v>
      </c>
      <c r="AH4" s="190" t="s">
        <v>988</v>
      </c>
      <c r="AI4" s="190"/>
      <c r="AJ4" s="190" t="s">
        <v>986</v>
      </c>
      <c r="AK4" s="190" t="s">
        <v>928</v>
      </c>
      <c r="AL4" s="190" t="s">
        <v>928</v>
      </c>
      <c r="AM4" s="190" t="s">
        <v>928</v>
      </c>
      <c r="AN4" s="190"/>
      <c r="AO4" s="190" t="s">
        <v>987</v>
      </c>
      <c r="AP4" s="190" t="s">
        <v>928</v>
      </c>
      <c r="AQ4" s="190" t="s">
        <v>929</v>
      </c>
      <c r="AR4" s="190"/>
      <c r="AS4" s="190" t="s">
        <v>929</v>
      </c>
      <c r="AT4" s="190" t="s">
        <v>929</v>
      </c>
      <c r="AU4" s="190" t="s">
        <v>929</v>
      </c>
      <c r="AV4" s="190" t="s">
        <v>929</v>
      </c>
      <c r="AW4" s="190" t="s">
        <v>929</v>
      </c>
      <c r="AX4" s="190" t="s">
        <v>929</v>
      </c>
      <c r="AY4" s="190" t="s">
        <v>929</v>
      </c>
      <c r="AZ4" s="190" t="s">
        <v>929</v>
      </c>
      <c r="BA4" s="190" t="s">
        <v>929</v>
      </c>
      <c r="BB4" s="190" t="s">
        <v>929</v>
      </c>
      <c r="BC4" s="190" t="s">
        <v>929</v>
      </c>
      <c r="BD4" s="190" t="s">
        <v>929</v>
      </c>
      <c r="BE4" s="190" t="s">
        <v>929</v>
      </c>
      <c r="BF4" s="190" t="s">
        <v>929</v>
      </c>
      <c r="BG4" s="190" t="s">
        <v>929</v>
      </c>
      <c r="BH4" s="190" t="s">
        <v>929</v>
      </c>
      <c r="BI4" s="190" t="s">
        <v>929</v>
      </c>
      <c r="BJ4" s="190" t="s">
        <v>929</v>
      </c>
      <c r="BK4" s="190" t="s">
        <v>929</v>
      </c>
      <c r="BL4" s="190" t="s">
        <v>929</v>
      </c>
      <c r="BM4" s="190" t="s">
        <v>929</v>
      </c>
      <c r="BN4" s="190" t="s">
        <v>929</v>
      </c>
      <c r="BO4" s="190" t="s">
        <v>929</v>
      </c>
      <c r="BP4" s="190" t="s">
        <v>929</v>
      </c>
      <c r="BQ4" s="190" t="s">
        <v>929</v>
      </c>
      <c r="BR4" s="190" t="s">
        <v>929</v>
      </c>
      <c r="BS4" s="190" t="s">
        <v>929</v>
      </c>
      <c r="BT4" s="190" t="s">
        <v>929</v>
      </c>
      <c r="BU4" s="190" t="s">
        <v>929</v>
      </c>
      <c r="BV4" s="190" t="s">
        <v>929</v>
      </c>
      <c r="BW4" s="190" t="s">
        <v>929</v>
      </c>
      <c r="BX4" s="190" t="s">
        <v>929</v>
      </c>
      <c r="BY4" s="190" t="s">
        <v>929</v>
      </c>
      <c r="BZ4" s="190" t="s">
        <v>929</v>
      </c>
      <c r="CA4" s="190" t="s">
        <v>929</v>
      </c>
      <c r="CB4" s="190" t="s">
        <v>929</v>
      </c>
      <c r="CC4" s="190" t="s">
        <v>929</v>
      </c>
      <c r="CD4" s="190" t="s">
        <v>929</v>
      </c>
      <c r="CE4" s="190" t="s">
        <v>929</v>
      </c>
      <c r="CF4" s="190" t="s">
        <v>929</v>
      </c>
      <c r="CG4" s="190" t="s">
        <v>929</v>
      </c>
      <c r="CH4" s="190" t="s">
        <v>929</v>
      </c>
      <c r="CI4" s="190" t="s">
        <v>929</v>
      </c>
      <c r="CJ4" s="190" t="s">
        <v>929</v>
      </c>
      <c r="CK4" s="190" t="s">
        <v>929</v>
      </c>
      <c r="CL4" s="190" t="s">
        <v>929</v>
      </c>
      <c r="CM4" s="190" t="s">
        <v>929</v>
      </c>
      <c r="CN4" s="190" t="s">
        <v>929</v>
      </c>
      <c r="CO4" s="190" t="s">
        <v>929</v>
      </c>
      <c r="CP4" s="190" t="s">
        <v>929</v>
      </c>
      <c r="CQ4" s="190" t="s">
        <v>929</v>
      </c>
      <c r="CR4" s="190"/>
      <c r="CS4" s="190" t="s">
        <v>927</v>
      </c>
      <c r="CT4" s="190" t="s">
        <v>986</v>
      </c>
      <c r="CU4" s="190" t="s">
        <v>928</v>
      </c>
      <c r="CV4" s="190" t="s">
        <v>986</v>
      </c>
      <c r="CW4" s="190"/>
      <c r="CX4" s="190" t="s">
        <v>927</v>
      </c>
      <c r="CY4" s="190" t="s">
        <v>927</v>
      </c>
      <c r="CZ4" s="190" t="s">
        <v>927</v>
      </c>
      <c r="DA4" s="190" t="s">
        <v>927</v>
      </c>
      <c r="DB4" s="190" t="s">
        <v>927</v>
      </c>
      <c r="DC4" s="190" t="s">
        <v>927</v>
      </c>
      <c r="DD4" s="190" t="s">
        <v>927</v>
      </c>
      <c r="DE4" s="190"/>
      <c r="DF4" s="174">
        <v>3</v>
      </c>
      <c r="DH4" s="174" t="s">
        <v>907</v>
      </c>
      <c r="DI4" s="174" t="s">
        <v>967</v>
      </c>
      <c r="DL4" s="174">
        <v>2</v>
      </c>
      <c r="DO4" s="174">
        <v>2</v>
      </c>
      <c r="DQ4" s="174">
        <v>-2</v>
      </c>
      <c r="DR4" s="174">
        <v>2</v>
      </c>
      <c r="DY4" s="174">
        <v>12</v>
      </c>
      <c r="DZ4" s="174">
        <v>6</v>
      </c>
      <c r="EA4" s="174">
        <v>1</v>
      </c>
      <c r="EB4" s="174">
        <v>50</v>
      </c>
      <c r="ED4" s="174" t="s">
        <v>967</v>
      </c>
      <c r="EE4" s="174">
        <v>6543</v>
      </c>
      <c r="EF4" s="174">
        <v>6543</v>
      </c>
      <c r="EG4" s="174">
        <v>7654</v>
      </c>
      <c r="EH4" s="174">
        <v>6543</v>
      </c>
      <c r="EI4" s="174">
        <v>6543</v>
      </c>
      <c r="EJ4" s="174">
        <v>6543</v>
      </c>
      <c r="EK4" s="174">
        <v>6543</v>
      </c>
      <c r="EL4" s="174">
        <v>6421</v>
      </c>
      <c r="EN4" s="182" t="s">
        <v>989</v>
      </c>
      <c r="EO4" s="174">
        <v>1</v>
      </c>
      <c r="EP4" s="174">
        <v>1</v>
      </c>
      <c r="EQ4" s="174">
        <v>1</v>
      </c>
      <c r="ER4" s="174">
        <v>1</v>
      </c>
      <c r="ES4" s="174">
        <v>1</v>
      </c>
      <c r="ET4" s="174">
        <v>1</v>
      </c>
      <c r="EU4" s="174">
        <v>1</v>
      </c>
      <c r="EW4" s="174">
        <v>2</v>
      </c>
      <c r="EX4" s="174">
        <v>2</v>
      </c>
      <c r="EY4" s="174">
        <v>1</v>
      </c>
      <c r="EZ4" s="174">
        <v>2</v>
      </c>
      <c r="FA4" s="174">
        <v>2</v>
      </c>
      <c r="FB4" s="174">
        <v>1</v>
      </c>
      <c r="FC4" s="174">
        <v>1</v>
      </c>
      <c r="FD4" s="174">
        <v>1</v>
      </c>
      <c r="FE4" s="174">
        <v>1</v>
      </c>
      <c r="FF4" s="174">
        <v>1</v>
      </c>
      <c r="FG4" s="174">
        <v>2</v>
      </c>
      <c r="FH4" s="174">
        <v>1</v>
      </c>
      <c r="FI4" s="174">
        <v>1</v>
      </c>
      <c r="FJ4" s="174">
        <v>2</v>
      </c>
      <c r="FK4" s="174">
        <v>1</v>
      </c>
      <c r="FL4" s="174">
        <v>1</v>
      </c>
      <c r="FM4" s="174">
        <v>1</v>
      </c>
      <c r="FN4" s="174">
        <v>1</v>
      </c>
      <c r="FO4" s="174">
        <v>1</v>
      </c>
      <c r="FP4" s="174">
        <v>1</v>
      </c>
      <c r="FQ4" s="174">
        <v>1</v>
      </c>
      <c r="FR4" s="174">
        <v>1</v>
      </c>
      <c r="FS4" s="174">
        <v>1</v>
      </c>
      <c r="FT4" s="174">
        <v>1</v>
      </c>
      <c r="FV4" s="174">
        <v>3</v>
      </c>
      <c r="FW4" s="174">
        <v>3</v>
      </c>
      <c r="FX4" s="174">
        <v>3</v>
      </c>
      <c r="FY4" s="174">
        <v>3</v>
      </c>
      <c r="FZ4" s="174">
        <v>1</v>
      </c>
      <c r="GA4" s="174">
        <v>1</v>
      </c>
      <c r="GB4" s="174">
        <v>1</v>
      </c>
      <c r="GC4" s="174">
        <v>1</v>
      </c>
      <c r="GD4" s="174">
        <v>1</v>
      </c>
      <c r="GE4" s="174">
        <v>1</v>
      </c>
      <c r="GF4" s="174">
        <v>1</v>
      </c>
      <c r="GG4" s="174">
        <v>1</v>
      </c>
      <c r="GH4" s="174">
        <v>1</v>
      </c>
      <c r="GL4" s="174">
        <v>3</v>
      </c>
      <c r="GN4" s="174">
        <v>3</v>
      </c>
      <c r="GO4" s="174">
        <v>3</v>
      </c>
      <c r="GP4" s="174">
        <v>3</v>
      </c>
      <c r="GQ4" s="174">
        <v>1</v>
      </c>
      <c r="HA4" s="174">
        <v>3</v>
      </c>
      <c r="HB4" s="197">
        <v>1</v>
      </c>
      <c r="HC4" s="183">
        <v>2</v>
      </c>
      <c r="HD4" s="183">
        <v>3</v>
      </c>
      <c r="HE4" s="194">
        <v>1</v>
      </c>
      <c r="HF4" s="183">
        <v>5</v>
      </c>
      <c r="HG4" s="193" t="e">
        <f t="shared" si="3"/>
        <v>#N/A</v>
      </c>
      <c r="HH4" s="192" t="e">
        <f t="shared" ref="HH4:HH67" si="4">HLOOKUP($B$155,$HK$1:$IG$202,$IF3,0)</f>
        <v>#N/A</v>
      </c>
      <c r="HI4" s="198">
        <v>1</v>
      </c>
      <c r="HJ4" s="185">
        <v>5</v>
      </c>
      <c r="HK4" s="174">
        <v>2</v>
      </c>
      <c r="HL4" s="174">
        <v>18</v>
      </c>
      <c r="HM4" s="174">
        <v>14</v>
      </c>
      <c r="HN4" s="174">
        <v>14</v>
      </c>
      <c r="HO4" s="174">
        <v>14</v>
      </c>
      <c r="HP4" s="174">
        <v>14</v>
      </c>
      <c r="HQ4" s="174">
        <v>14</v>
      </c>
      <c r="HR4" s="174">
        <v>14</v>
      </c>
      <c r="HS4" s="174">
        <v>12</v>
      </c>
      <c r="HT4" s="174">
        <v>12</v>
      </c>
      <c r="HU4" s="174">
        <v>12</v>
      </c>
      <c r="HV4" s="174">
        <v>12</v>
      </c>
      <c r="HW4" s="174">
        <v>12</v>
      </c>
      <c r="HX4" s="174">
        <v>12</v>
      </c>
      <c r="HY4" s="174">
        <v>12</v>
      </c>
      <c r="HZ4" s="174">
        <v>12</v>
      </c>
      <c r="IA4" s="174">
        <v>10</v>
      </c>
      <c r="IB4" s="174">
        <v>10</v>
      </c>
      <c r="IC4" s="174">
        <v>8</v>
      </c>
      <c r="ID4" s="174">
        <v>6</v>
      </c>
      <c r="IE4" s="174">
        <v>4</v>
      </c>
      <c r="IF4" s="174">
        <v>4</v>
      </c>
      <c r="II4" s="174">
        <f>Skills!K314</f>
        <v>-14.509997</v>
      </c>
      <c r="IJ4" s="174" t="str">
        <f>Skills!B314</f>
        <v>1-H Krush</v>
      </c>
      <c r="IM4" s="174">
        <v>20000</v>
      </c>
      <c r="IN4" s="174">
        <v>2</v>
      </c>
    </row>
    <row r="5" spans="1:248" ht="13.35" customHeight="1" thickBot="1" x14ac:dyDescent="0.25">
      <c r="A5" s="183">
        <f t="shared" si="1"/>
        <v>4</v>
      </c>
      <c r="B5" s="184">
        <f t="shared" si="0"/>
        <v>-8</v>
      </c>
      <c r="C5" s="183">
        <f t="shared" si="2"/>
        <v>4</v>
      </c>
      <c r="E5" s="196" t="s">
        <v>410</v>
      </c>
      <c r="F5" s="190" t="s">
        <v>927</v>
      </c>
      <c r="G5" s="190" t="s">
        <v>929</v>
      </c>
      <c r="H5" s="190" t="s">
        <v>927</v>
      </c>
      <c r="I5" s="190" t="s">
        <v>930</v>
      </c>
      <c r="J5" s="190" t="s">
        <v>929</v>
      </c>
      <c r="K5" s="190" t="s">
        <v>930</v>
      </c>
      <c r="L5" s="190" t="s">
        <v>930</v>
      </c>
      <c r="M5" s="190" t="s">
        <v>930</v>
      </c>
      <c r="N5" s="190" t="s">
        <v>930</v>
      </c>
      <c r="O5" s="190" t="s">
        <v>934</v>
      </c>
      <c r="P5" s="190" t="s">
        <v>928</v>
      </c>
      <c r="Q5" s="190" t="s">
        <v>934</v>
      </c>
      <c r="R5" s="190" t="s">
        <v>934</v>
      </c>
      <c r="S5" s="190" t="s">
        <v>930</v>
      </c>
      <c r="T5" s="190" t="s">
        <v>928</v>
      </c>
      <c r="U5" s="190" t="s">
        <v>927</v>
      </c>
      <c r="V5" s="190" t="s">
        <v>930</v>
      </c>
      <c r="W5" s="190" t="s">
        <v>930</v>
      </c>
      <c r="X5" s="190" t="s">
        <v>929</v>
      </c>
      <c r="Y5" s="190" t="s">
        <v>928</v>
      </c>
      <c r="Z5" s="190"/>
      <c r="AA5" s="190" t="s">
        <v>930</v>
      </c>
      <c r="AB5" s="190" t="s">
        <v>930</v>
      </c>
      <c r="AC5" s="190" t="s">
        <v>932</v>
      </c>
      <c r="AD5" s="190" t="s">
        <v>934</v>
      </c>
      <c r="AE5" s="190"/>
      <c r="AF5" s="190" t="s">
        <v>930</v>
      </c>
      <c r="AG5" s="190" t="s">
        <v>930</v>
      </c>
      <c r="AH5" s="190" t="s">
        <v>987</v>
      </c>
      <c r="AI5" s="190"/>
      <c r="AJ5" s="190" t="s">
        <v>929</v>
      </c>
      <c r="AK5" s="190" t="s">
        <v>934</v>
      </c>
      <c r="AL5" s="190" t="s">
        <v>934</v>
      </c>
      <c r="AM5" s="190" t="s">
        <v>934</v>
      </c>
      <c r="AN5" s="190"/>
      <c r="AO5" s="190" t="s">
        <v>930</v>
      </c>
      <c r="AP5" s="190" t="s">
        <v>934</v>
      </c>
      <c r="AQ5" s="190" t="s">
        <v>933</v>
      </c>
      <c r="AR5" s="190"/>
      <c r="AS5" s="190" t="s">
        <v>930</v>
      </c>
      <c r="AT5" s="190" t="s">
        <v>930</v>
      </c>
      <c r="AU5" s="190" t="s">
        <v>930</v>
      </c>
      <c r="AV5" s="190" t="s">
        <v>930</v>
      </c>
      <c r="AW5" s="190" t="s">
        <v>930</v>
      </c>
      <c r="AX5" s="190" t="s">
        <v>930</v>
      </c>
      <c r="AY5" s="190" t="s">
        <v>930</v>
      </c>
      <c r="AZ5" s="190" t="s">
        <v>930</v>
      </c>
      <c r="BA5" s="190" t="s">
        <v>930</v>
      </c>
      <c r="BB5" s="190" t="s">
        <v>930</v>
      </c>
      <c r="BC5" s="190" t="s">
        <v>930</v>
      </c>
      <c r="BD5" s="190" t="s">
        <v>930</v>
      </c>
      <c r="BE5" s="190" t="s">
        <v>930</v>
      </c>
      <c r="BF5" s="190" t="s">
        <v>930</v>
      </c>
      <c r="BG5" s="190" t="s">
        <v>930</v>
      </c>
      <c r="BH5" s="190" t="s">
        <v>930</v>
      </c>
      <c r="BI5" s="190" t="s">
        <v>930</v>
      </c>
      <c r="BJ5" s="190" t="s">
        <v>930</v>
      </c>
      <c r="BK5" s="190" t="s">
        <v>930</v>
      </c>
      <c r="BL5" s="190" t="s">
        <v>930</v>
      </c>
      <c r="BM5" s="190" t="s">
        <v>930</v>
      </c>
      <c r="BN5" s="190" t="s">
        <v>930</v>
      </c>
      <c r="BO5" s="190" t="s">
        <v>930</v>
      </c>
      <c r="BP5" s="190" t="s">
        <v>930</v>
      </c>
      <c r="BQ5" s="190" t="s">
        <v>930</v>
      </c>
      <c r="BR5" s="190" t="s">
        <v>930</v>
      </c>
      <c r="BS5" s="190" t="s">
        <v>930</v>
      </c>
      <c r="BT5" s="190" t="s">
        <v>930</v>
      </c>
      <c r="BU5" s="190" t="s">
        <v>930</v>
      </c>
      <c r="BV5" s="190" t="s">
        <v>930</v>
      </c>
      <c r="BW5" s="190" t="s">
        <v>930</v>
      </c>
      <c r="BX5" s="190" t="s">
        <v>930</v>
      </c>
      <c r="BY5" s="190" t="s">
        <v>930</v>
      </c>
      <c r="BZ5" s="190" t="s">
        <v>930</v>
      </c>
      <c r="CA5" s="190" t="s">
        <v>930</v>
      </c>
      <c r="CB5" s="190" t="s">
        <v>930</v>
      </c>
      <c r="CC5" s="190" t="s">
        <v>930</v>
      </c>
      <c r="CD5" s="190" t="s">
        <v>930</v>
      </c>
      <c r="CE5" s="190" t="s">
        <v>930</v>
      </c>
      <c r="CF5" s="190" t="s">
        <v>930</v>
      </c>
      <c r="CG5" s="190" t="s">
        <v>930</v>
      </c>
      <c r="CH5" s="190" t="s">
        <v>930</v>
      </c>
      <c r="CI5" s="190" t="s">
        <v>930</v>
      </c>
      <c r="CJ5" s="190" t="s">
        <v>930</v>
      </c>
      <c r="CK5" s="190" t="s">
        <v>930</v>
      </c>
      <c r="CL5" s="190" t="s">
        <v>930</v>
      </c>
      <c r="CM5" s="190" t="s">
        <v>930</v>
      </c>
      <c r="CN5" s="190" t="s">
        <v>930</v>
      </c>
      <c r="CO5" s="190" t="s">
        <v>930</v>
      </c>
      <c r="CP5" s="190" t="s">
        <v>930</v>
      </c>
      <c r="CQ5" s="190" t="s">
        <v>930</v>
      </c>
      <c r="CR5" s="190"/>
      <c r="CS5" s="190" t="s">
        <v>928</v>
      </c>
      <c r="CT5" s="190" t="s">
        <v>927</v>
      </c>
      <c r="CU5" s="190" t="s">
        <v>930</v>
      </c>
      <c r="CV5" s="190" t="s">
        <v>928</v>
      </c>
      <c r="CW5" s="190"/>
      <c r="CX5" s="190" t="s">
        <v>929</v>
      </c>
      <c r="CY5" s="190" t="s">
        <v>930</v>
      </c>
      <c r="CZ5" s="190" t="s">
        <v>930</v>
      </c>
      <c r="DA5" s="190" t="s">
        <v>928</v>
      </c>
      <c r="DB5" s="190" t="s">
        <v>928</v>
      </c>
      <c r="DC5" s="190" t="s">
        <v>930</v>
      </c>
      <c r="DD5" s="190" t="s">
        <v>928</v>
      </c>
      <c r="DE5" s="190"/>
      <c r="DF5" s="174">
        <v>4</v>
      </c>
      <c r="DH5" s="182" t="s">
        <v>990</v>
      </c>
      <c r="DI5" s="182" t="s">
        <v>178</v>
      </c>
      <c r="DJ5" s="182">
        <v>2</v>
      </c>
      <c r="DK5" s="182"/>
      <c r="DL5" s="182">
        <v>2</v>
      </c>
      <c r="DM5" s="182"/>
      <c r="DN5" s="182"/>
      <c r="DO5" s="182">
        <v>4</v>
      </c>
      <c r="DP5" s="182"/>
      <c r="DQ5" s="182">
        <v>2</v>
      </c>
      <c r="DR5" s="182"/>
      <c r="DS5" s="182"/>
      <c r="DT5" s="182"/>
      <c r="DU5" s="182"/>
      <c r="DV5" s="182"/>
      <c r="DW5" s="182"/>
      <c r="DX5" s="182">
        <v>5</v>
      </c>
      <c r="DY5" s="182">
        <v>12</v>
      </c>
      <c r="DZ5" s="182">
        <v>4</v>
      </c>
      <c r="EA5" s="182">
        <v>1</v>
      </c>
      <c r="EB5" s="182">
        <v>45</v>
      </c>
      <c r="ED5" s="174" t="s">
        <v>178</v>
      </c>
      <c r="EE5" s="174">
        <v>5432</v>
      </c>
      <c r="EF5" s="174">
        <v>6543</v>
      </c>
      <c r="EG5" s="174">
        <v>7654</v>
      </c>
      <c r="EH5" s="174">
        <v>6543</v>
      </c>
      <c r="EI5" s="174">
        <v>6543</v>
      </c>
      <c r="EJ5" s="174">
        <v>6543</v>
      </c>
      <c r="EK5" s="174">
        <v>6543</v>
      </c>
      <c r="EL5" s="174">
        <v>7421</v>
      </c>
      <c r="EN5" s="174" t="s">
        <v>407</v>
      </c>
      <c r="EQ5" s="174">
        <v>1</v>
      </c>
      <c r="ER5" s="174">
        <v>1</v>
      </c>
      <c r="FL5" s="174">
        <v>1</v>
      </c>
      <c r="FM5" s="174">
        <v>1</v>
      </c>
      <c r="FN5" s="174">
        <v>1</v>
      </c>
      <c r="FO5" s="174">
        <v>1</v>
      </c>
      <c r="FP5" s="174">
        <v>1</v>
      </c>
      <c r="FQ5" s="174">
        <v>1</v>
      </c>
      <c r="FR5" s="174">
        <v>1</v>
      </c>
      <c r="FT5" s="174">
        <v>1</v>
      </c>
      <c r="FV5" s="174">
        <v>3</v>
      </c>
      <c r="FW5" s="174">
        <v>3</v>
      </c>
      <c r="FX5" s="174">
        <v>3</v>
      </c>
      <c r="FY5" s="174">
        <v>3</v>
      </c>
      <c r="GD5" s="174">
        <v>1</v>
      </c>
      <c r="GE5" s="174">
        <v>2</v>
      </c>
      <c r="GF5" s="174">
        <v>1</v>
      </c>
      <c r="GL5" s="174">
        <v>3</v>
      </c>
      <c r="GN5" s="174">
        <v>1</v>
      </c>
      <c r="GO5" s="174">
        <v>1</v>
      </c>
      <c r="GP5" s="174">
        <v>1</v>
      </c>
      <c r="HA5" s="174">
        <v>4</v>
      </c>
      <c r="HB5" s="197">
        <v>2</v>
      </c>
      <c r="HC5" s="183">
        <v>4</v>
      </c>
      <c r="HD5" s="183">
        <v>6</v>
      </c>
      <c r="HE5" s="183">
        <v>2</v>
      </c>
      <c r="HF5" s="183">
        <v>10</v>
      </c>
      <c r="HG5" s="193" t="e">
        <f t="shared" si="3"/>
        <v>#N/A</v>
      </c>
      <c r="HH5" s="192" t="e">
        <f t="shared" si="4"/>
        <v>#N/A</v>
      </c>
      <c r="HI5" s="198">
        <v>2</v>
      </c>
      <c r="HJ5" s="185">
        <v>10</v>
      </c>
      <c r="HK5" s="174">
        <v>3</v>
      </c>
      <c r="HL5" s="174">
        <v>27</v>
      </c>
      <c r="HM5" s="174">
        <v>21</v>
      </c>
      <c r="HN5" s="174">
        <v>21</v>
      </c>
      <c r="HO5" s="174">
        <v>21</v>
      </c>
      <c r="HP5" s="174">
        <v>21</v>
      </c>
      <c r="HQ5" s="174">
        <v>21</v>
      </c>
      <c r="HR5" s="174">
        <v>21</v>
      </c>
      <c r="HS5" s="174">
        <v>18</v>
      </c>
      <c r="HT5" s="174">
        <v>18</v>
      </c>
      <c r="HU5" s="174">
        <v>18</v>
      </c>
      <c r="HV5" s="174">
        <v>18</v>
      </c>
      <c r="HW5" s="174">
        <v>18</v>
      </c>
      <c r="HX5" s="174">
        <v>18</v>
      </c>
      <c r="HY5" s="174">
        <v>18</v>
      </c>
      <c r="HZ5" s="174">
        <v>18</v>
      </c>
      <c r="IA5" s="174">
        <v>15</v>
      </c>
      <c r="IB5" s="174">
        <v>15</v>
      </c>
      <c r="IC5" s="174">
        <v>12</v>
      </c>
      <c r="ID5" s="174">
        <v>9</v>
      </c>
      <c r="IE5" s="174">
        <v>6</v>
      </c>
      <c r="IF5" s="174">
        <v>5</v>
      </c>
      <c r="II5" s="174">
        <f>Skills!K316</f>
        <v>-14.50996</v>
      </c>
      <c r="IJ5" s="174" t="str">
        <f>Skills!B316</f>
        <v>1-H Edged</v>
      </c>
      <c r="IM5" s="174">
        <v>30000</v>
      </c>
      <c r="IN5" s="174">
        <v>3</v>
      </c>
    </row>
    <row r="6" spans="1:248" ht="13.35" customHeight="1" thickBot="1" x14ac:dyDescent="0.25">
      <c r="A6" s="183">
        <f t="shared" si="1"/>
        <v>5</v>
      </c>
      <c r="B6" s="184">
        <f t="shared" si="0"/>
        <v>-8</v>
      </c>
      <c r="C6" s="183">
        <f t="shared" si="2"/>
        <v>5</v>
      </c>
      <c r="E6" s="196" t="s">
        <v>412</v>
      </c>
      <c r="F6" s="190" t="s">
        <v>991</v>
      </c>
      <c r="G6" s="190" t="s">
        <v>992</v>
      </c>
      <c r="H6" s="190" t="s">
        <v>992</v>
      </c>
      <c r="I6" s="190" t="s">
        <v>991</v>
      </c>
      <c r="J6" s="190" t="s">
        <v>991</v>
      </c>
      <c r="K6" s="190" t="s">
        <v>991</v>
      </c>
      <c r="L6" s="190" t="s">
        <v>993</v>
      </c>
      <c r="M6" s="190" t="s">
        <v>991</v>
      </c>
      <c r="N6" s="190" t="s">
        <v>991</v>
      </c>
      <c r="O6" s="190" t="s">
        <v>991</v>
      </c>
      <c r="P6" s="190" t="s">
        <v>991</v>
      </c>
      <c r="Q6" s="190" t="s">
        <v>991</v>
      </c>
      <c r="R6" s="190" t="s">
        <v>994</v>
      </c>
      <c r="S6" s="190" t="s">
        <v>991</v>
      </c>
      <c r="T6" s="190" t="s">
        <v>995</v>
      </c>
      <c r="U6" s="190" t="s">
        <v>991</v>
      </c>
      <c r="V6" s="190" t="s">
        <v>991</v>
      </c>
      <c r="W6" s="190" t="s">
        <v>992</v>
      </c>
      <c r="X6" s="190" t="s">
        <v>996</v>
      </c>
      <c r="Y6" s="190" t="s">
        <v>992</v>
      </c>
      <c r="Z6" s="190"/>
      <c r="AA6" s="190" t="s">
        <v>991</v>
      </c>
      <c r="AB6" s="190" t="s">
        <v>991</v>
      </c>
      <c r="AC6" s="190" t="s">
        <v>991</v>
      </c>
      <c r="AD6" s="190" t="s">
        <v>991</v>
      </c>
      <c r="AE6" s="190"/>
      <c r="AF6" s="190" t="s">
        <v>991</v>
      </c>
      <c r="AG6" s="190" t="s">
        <v>991</v>
      </c>
      <c r="AH6" s="190" t="s">
        <v>991</v>
      </c>
      <c r="AI6" s="190"/>
      <c r="AJ6" s="190" t="s">
        <v>991</v>
      </c>
      <c r="AK6" s="190" t="s">
        <v>994</v>
      </c>
      <c r="AL6" s="190" t="s">
        <v>992</v>
      </c>
      <c r="AM6" s="190" t="s">
        <v>991</v>
      </c>
      <c r="AN6" s="190"/>
      <c r="AO6" s="190" t="s">
        <v>991</v>
      </c>
      <c r="AP6" s="190" t="s">
        <v>991</v>
      </c>
      <c r="AQ6" s="190" t="s">
        <v>991</v>
      </c>
      <c r="AR6" s="190"/>
      <c r="AS6" s="190" t="s">
        <v>991</v>
      </c>
      <c r="AT6" s="190" t="s">
        <v>991</v>
      </c>
      <c r="AU6" s="190" t="s">
        <v>991</v>
      </c>
      <c r="AV6" s="190" t="s">
        <v>991</v>
      </c>
      <c r="AW6" s="190" t="s">
        <v>991</v>
      </c>
      <c r="AX6" s="190" t="s">
        <v>991</v>
      </c>
      <c r="AY6" s="190" t="s">
        <v>991</v>
      </c>
      <c r="AZ6" s="190" t="s">
        <v>991</v>
      </c>
      <c r="BA6" s="190" t="s">
        <v>991</v>
      </c>
      <c r="BB6" s="190" t="s">
        <v>991</v>
      </c>
      <c r="BC6" s="190" t="s">
        <v>991</v>
      </c>
      <c r="BD6" s="190" t="s">
        <v>991</v>
      </c>
      <c r="BE6" s="190" t="s">
        <v>991</v>
      </c>
      <c r="BF6" s="190" t="s">
        <v>991</v>
      </c>
      <c r="BG6" s="190" t="s">
        <v>991</v>
      </c>
      <c r="BH6" s="190" t="s">
        <v>991</v>
      </c>
      <c r="BI6" s="190" t="s">
        <v>991</v>
      </c>
      <c r="BJ6" s="190" t="s">
        <v>991</v>
      </c>
      <c r="BK6" s="190" t="s">
        <v>991</v>
      </c>
      <c r="BL6" s="190" t="s">
        <v>991</v>
      </c>
      <c r="BM6" s="190" t="s">
        <v>991</v>
      </c>
      <c r="BN6" s="190" t="s">
        <v>991</v>
      </c>
      <c r="BO6" s="190" t="s">
        <v>991</v>
      </c>
      <c r="BP6" s="190" t="s">
        <v>991</v>
      </c>
      <c r="BQ6" s="190" t="s">
        <v>991</v>
      </c>
      <c r="BR6" s="190" t="s">
        <v>991</v>
      </c>
      <c r="BS6" s="190" t="s">
        <v>991</v>
      </c>
      <c r="BT6" s="190" t="s">
        <v>991</v>
      </c>
      <c r="BU6" s="190" t="s">
        <v>991</v>
      </c>
      <c r="BV6" s="190" t="s">
        <v>991</v>
      </c>
      <c r="BW6" s="190" t="s">
        <v>991</v>
      </c>
      <c r="BX6" s="190" t="s">
        <v>991</v>
      </c>
      <c r="BY6" s="190" t="s">
        <v>991</v>
      </c>
      <c r="BZ6" s="190" t="s">
        <v>991</v>
      </c>
      <c r="CA6" s="190" t="s">
        <v>991</v>
      </c>
      <c r="CB6" s="190" t="s">
        <v>991</v>
      </c>
      <c r="CC6" s="190" t="s">
        <v>991</v>
      </c>
      <c r="CD6" s="190" t="s">
        <v>991</v>
      </c>
      <c r="CE6" s="190" t="s">
        <v>991</v>
      </c>
      <c r="CF6" s="190" t="s">
        <v>991</v>
      </c>
      <c r="CG6" s="190" t="s">
        <v>991</v>
      </c>
      <c r="CH6" s="190" t="s">
        <v>991</v>
      </c>
      <c r="CI6" s="190" t="s">
        <v>991</v>
      </c>
      <c r="CJ6" s="190" t="s">
        <v>991</v>
      </c>
      <c r="CK6" s="190" t="s">
        <v>991</v>
      </c>
      <c r="CL6" s="190" t="s">
        <v>991</v>
      </c>
      <c r="CM6" s="190" t="s">
        <v>991</v>
      </c>
      <c r="CN6" s="190" t="s">
        <v>991</v>
      </c>
      <c r="CO6" s="190" t="s">
        <v>991</v>
      </c>
      <c r="CP6" s="190" t="s">
        <v>991</v>
      </c>
      <c r="CQ6" s="190" t="s">
        <v>991</v>
      </c>
      <c r="CR6" s="190"/>
      <c r="CS6" s="190" t="s">
        <v>991</v>
      </c>
      <c r="CT6" s="190" t="s">
        <v>991</v>
      </c>
      <c r="CU6" s="190" t="s">
        <v>991</v>
      </c>
      <c r="CV6" s="190" t="s">
        <v>992</v>
      </c>
      <c r="CW6" s="190"/>
      <c r="CX6" s="190" t="s">
        <v>991</v>
      </c>
      <c r="CY6" s="190" t="s">
        <v>991</v>
      </c>
      <c r="CZ6" s="190" t="s">
        <v>991</v>
      </c>
      <c r="DA6" s="190" t="s">
        <v>991</v>
      </c>
      <c r="DB6" s="190" t="s">
        <v>991</v>
      </c>
      <c r="DC6" s="190" t="s">
        <v>991</v>
      </c>
      <c r="DD6" s="190" t="s">
        <v>991</v>
      </c>
      <c r="DE6" s="190"/>
      <c r="DF6" s="174">
        <v>5</v>
      </c>
      <c r="DH6" s="182" t="s">
        <v>936</v>
      </c>
      <c r="DI6" s="182" t="s">
        <v>997</v>
      </c>
      <c r="DJ6" s="182">
        <v>4</v>
      </c>
      <c r="DK6" s="182"/>
      <c r="DL6" s="182"/>
      <c r="DM6" s="182"/>
      <c r="DN6" s="182"/>
      <c r="DO6" s="182">
        <v>4</v>
      </c>
      <c r="DP6" s="182"/>
      <c r="DQ6" s="182">
        <v>2</v>
      </c>
      <c r="DR6" s="182"/>
      <c r="DS6" s="182"/>
      <c r="DT6" s="182"/>
      <c r="DU6" s="182"/>
      <c r="DV6" s="182"/>
      <c r="DW6" s="182">
        <v>5</v>
      </c>
      <c r="DX6" s="182">
        <v>15</v>
      </c>
      <c r="DY6" s="182">
        <v>10</v>
      </c>
      <c r="DZ6" s="182">
        <v>5</v>
      </c>
      <c r="EA6" s="182">
        <v>0.75</v>
      </c>
      <c r="EB6" s="182">
        <f>DZ6*10</f>
        <v>50</v>
      </c>
      <c r="ED6" s="174" t="s">
        <v>945</v>
      </c>
      <c r="EE6" s="174">
        <v>6543</v>
      </c>
      <c r="EF6" s="174">
        <v>6543</v>
      </c>
      <c r="EG6" s="174">
        <v>7654</v>
      </c>
      <c r="EH6" s="174">
        <v>6543</v>
      </c>
      <c r="EI6" s="174">
        <v>6543</v>
      </c>
      <c r="EJ6" s="174">
        <v>6543</v>
      </c>
      <c r="EK6" s="174">
        <v>6543</v>
      </c>
      <c r="EL6" s="174">
        <v>7531</v>
      </c>
      <c r="EN6" s="174" t="s">
        <v>998</v>
      </c>
      <c r="EO6" s="174">
        <v>1</v>
      </c>
      <c r="EP6" s="174">
        <v>1</v>
      </c>
      <c r="EQ6" s="174">
        <v>1</v>
      </c>
      <c r="ES6" s="174">
        <v>1</v>
      </c>
      <c r="ET6" s="174">
        <v>1</v>
      </c>
      <c r="EU6" s="174">
        <v>1</v>
      </c>
      <c r="EW6" s="174">
        <v>2</v>
      </c>
      <c r="EX6" s="174">
        <v>2</v>
      </c>
      <c r="EY6" s="174">
        <v>1</v>
      </c>
      <c r="EZ6" s="174">
        <v>2</v>
      </c>
      <c r="FA6" s="174">
        <v>2</v>
      </c>
      <c r="FB6" s="174">
        <v>1</v>
      </c>
      <c r="FF6" s="174">
        <v>1</v>
      </c>
      <c r="FG6" s="174">
        <v>2</v>
      </c>
      <c r="FH6" s="174">
        <v>1</v>
      </c>
      <c r="FI6" s="174">
        <v>1</v>
      </c>
      <c r="FJ6" s="174">
        <v>2</v>
      </c>
      <c r="FK6" s="174">
        <v>1</v>
      </c>
      <c r="FL6" s="174">
        <v>1</v>
      </c>
      <c r="FP6" s="174">
        <v>1</v>
      </c>
      <c r="FQ6" s="174">
        <v>1</v>
      </c>
      <c r="FR6" s="174">
        <v>1</v>
      </c>
      <c r="FZ6" s="174">
        <v>1</v>
      </c>
      <c r="GB6" s="174">
        <v>2</v>
      </c>
      <c r="GD6" s="174">
        <v>1</v>
      </c>
      <c r="GF6" s="174">
        <v>1</v>
      </c>
      <c r="GL6" s="174">
        <v>3</v>
      </c>
      <c r="GN6" s="174">
        <v>3</v>
      </c>
      <c r="GO6" s="174">
        <v>3</v>
      </c>
      <c r="GP6" s="174">
        <v>3</v>
      </c>
      <c r="GQ6" s="174">
        <v>1</v>
      </c>
      <c r="HA6" s="174">
        <v>5</v>
      </c>
      <c r="HB6" s="197">
        <v>3</v>
      </c>
      <c r="HC6" s="183">
        <v>6</v>
      </c>
      <c r="HD6" s="183">
        <v>9</v>
      </c>
      <c r="HE6" s="183">
        <v>3</v>
      </c>
      <c r="HF6" s="183">
        <v>15</v>
      </c>
      <c r="HG6" s="193" t="e">
        <f t="shared" si="3"/>
        <v>#N/A</v>
      </c>
      <c r="HH6" s="192" t="e">
        <f t="shared" si="4"/>
        <v>#N/A</v>
      </c>
      <c r="HI6" s="198">
        <v>3</v>
      </c>
      <c r="HJ6" s="185">
        <v>15</v>
      </c>
      <c r="HK6" s="174">
        <v>4</v>
      </c>
      <c r="HL6" s="174">
        <v>36</v>
      </c>
      <c r="HM6" s="174">
        <v>28</v>
      </c>
      <c r="HN6" s="174">
        <v>28</v>
      </c>
      <c r="HO6" s="174">
        <v>28</v>
      </c>
      <c r="HP6" s="174">
        <v>28</v>
      </c>
      <c r="HQ6" s="174">
        <v>28</v>
      </c>
      <c r="HR6" s="174">
        <v>28</v>
      </c>
      <c r="HS6" s="174">
        <v>24</v>
      </c>
      <c r="HT6" s="174">
        <v>24</v>
      </c>
      <c r="HU6" s="174">
        <v>24</v>
      </c>
      <c r="HV6" s="174">
        <v>24</v>
      </c>
      <c r="HW6" s="174">
        <v>24</v>
      </c>
      <c r="HX6" s="174">
        <v>24</v>
      </c>
      <c r="HY6" s="174">
        <v>24</v>
      </c>
      <c r="HZ6" s="174">
        <v>24</v>
      </c>
      <c r="IA6" s="174">
        <v>20</v>
      </c>
      <c r="IB6" s="174">
        <v>20</v>
      </c>
      <c r="IC6" s="174">
        <v>16</v>
      </c>
      <c r="ID6" s="174">
        <v>12</v>
      </c>
      <c r="IE6" s="174">
        <v>8</v>
      </c>
      <c r="IF6" s="174">
        <v>6</v>
      </c>
      <c r="II6" s="174">
        <f>Skills!K317</f>
        <v>-14.50995</v>
      </c>
      <c r="IJ6" s="174" t="str">
        <f>Skills!B317</f>
        <v>1-H Edged</v>
      </c>
      <c r="IM6" s="174">
        <v>40000</v>
      </c>
      <c r="IN6" s="174">
        <v>4</v>
      </c>
    </row>
    <row r="7" spans="1:248" ht="13.35" customHeight="1" thickBot="1" x14ac:dyDescent="0.25">
      <c r="A7" s="183">
        <f t="shared" si="1"/>
        <v>6</v>
      </c>
      <c r="B7" s="184">
        <f t="shared" si="0"/>
        <v>-7</v>
      </c>
      <c r="C7" s="183">
        <f t="shared" si="2"/>
        <v>6</v>
      </c>
      <c r="E7" s="196" t="s">
        <v>425</v>
      </c>
      <c r="F7" s="190" t="s">
        <v>991</v>
      </c>
      <c r="G7" s="190" t="s">
        <v>991</v>
      </c>
      <c r="H7" s="190" t="s">
        <v>991</v>
      </c>
      <c r="I7" s="190" t="s">
        <v>991</v>
      </c>
      <c r="J7" s="190" t="s">
        <v>991</v>
      </c>
      <c r="K7" s="190" t="s">
        <v>991</v>
      </c>
      <c r="L7" s="190" t="s">
        <v>991</v>
      </c>
      <c r="M7" s="190" t="s">
        <v>991</v>
      </c>
      <c r="N7" s="190" t="s">
        <v>991</v>
      </c>
      <c r="O7" s="190" t="s">
        <v>991</v>
      </c>
      <c r="P7" s="190" t="s">
        <v>991</v>
      </c>
      <c r="Q7" s="190" t="s">
        <v>991</v>
      </c>
      <c r="R7" s="190" t="s">
        <v>991</v>
      </c>
      <c r="S7" s="190" t="s">
        <v>991</v>
      </c>
      <c r="T7" s="190" t="s">
        <v>995</v>
      </c>
      <c r="U7" s="190" t="s">
        <v>991</v>
      </c>
      <c r="V7" s="190" t="s">
        <v>991</v>
      </c>
      <c r="W7" s="190" t="s">
        <v>991</v>
      </c>
      <c r="X7" s="190" t="s">
        <v>999</v>
      </c>
      <c r="Y7" s="190" t="s">
        <v>991</v>
      </c>
      <c r="Z7" s="190"/>
      <c r="AA7" s="190" t="s">
        <v>991</v>
      </c>
      <c r="AB7" s="190" t="s">
        <v>991</v>
      </c>
      <c r="AC7" s="190" t="s">
        <v>991</v>
      </c>
      <c r="AD7" s="190" t="s">
        <v>991</v>
      </c>
      <c r="AE7" s="190"/>
      <c r="AF7" s="190" t="s">
        <v>993</v>
      </c>
      <c r="AG7" s="190" t="s">
        <v>993</v>
      </c>
      <c r="AH7" s="190" t="s">
        <v>991</v>
      </c>
      <c r="AI7" s="190"/>
      <c r="AJ7" s="190" t="s">
        <v>991</v>
      </c>
      <c r="AK7" s="190" t="s">
        <v>991</v>
      </c>
      <c r="AL7" s="190" t="s">
        <v>992</v>
      </c>
      <c r="AM7" s="190" t="s">
        <v>991</v>
      </c>
      <c r="AN7" s="190"/>
      <c r="AO7" s="190" t="s">
        <v>991</v>
      </c>
      <c r="AP7" s="190" t="s">
        <v>991</v>
      </c>
      <c r="AQ7" s="190" t="s">
        <v>991</v>
      </c>
      <c r="AR7" s="190"/>
      <c r="AS7" s="190" t="s">
        <v>991</v>
      </c>
      <c r="AT7" s="190" t="s">
        <v>991</v>
      </c>
      <c r="AU7" s="190" t="s">
        <v>991</v>
      </c>
      <c r="AV7" s="190" t="s">
        <v>991</v>
      </c>
      <c r="AW7" s="190" t="s">
        <v>991</v>
      </c>
      <c r="AX7" s="190" t="s">
        <v>991</v>
      </c>
      <c r="AY7" s="190" t="s">
        <v>991</v>
      </c>
      <c r="AZ7" s="190" t="s">
        <v>991</v>
      </c>
      <c r="BA7" s="190" t="s">
        <v>991</v>
      </c>
      <c r="BB7" s="190" t="s">
        <v>991</v>
      </c>
      <c r="BC7" s="190" t="s">
        <v>991</v>
      </c>
      <c r="BD7" s="190" t="s">
        <v>991</v>
      </c>
      <c r="BE7" s="190" t="s">
        <v>991</v>
      </c>
      <c r="BF7" s="190" t="s">
        <v>991</v>
      </c>
      <c r="BG7" s="190" t="s">
        <v>991</v>
      </c>
      <c r="BH7" s="190" t="s">
        <v>991</v>
      </c>
      <c r="BI7" s="190" t="s">
        <v>991</v>
      </c>
      <c r="BJ7" s="190" t="s">
        <v>991</v>
      </c>
      <c r="BK7" s="190" t="s">
        <v>991</v>
      </c>
      <c r="BL7" s="190" t="s">
        <v>991</v>
      </c>
      <c r="BM7" s="190" t="s">
        <v>991</v>
      </c>
      <c r="BN7" s="190" t="s">
        <v>991</v>
      </c>
      <c r="BO7" s="190" t="s">
        <v>991</v>
      </c>
      <c r="BP7" s="190" t="s">
        <v>991</v>
      </c>
      <c r="BQ7" s="190" t="s">
        <v>991</v>
      </c>
      <c r="BR7" s="190" t="s">
        <v>991</v>
      </c>
      <c r="BS7" s="190" t="s">
        <v>991</v>
      </c>
      <c r="BT7" s="190" t="s">
        <v>991</v>
      </c>
      <c r="BU7" s="190" t="s">
        <v>991</v>
      </c>
      <c r="BV7" s="190" t="s">
        <v>991</v>
      </c>
      <c r="BW7" s="190" t="s">
        <v>991</v>
      </c>
      <c r="BX7" s="190" t="s">
        <v>991</v>
      </c>
      <c r="BY7" s="190" t="s">
        <v>991</v>
      </c>
      <c r="BZ7" s="190" t="s">
        <v>991</v>
      </c>
      <c r="CA7" s="190" t="s">
        <v>991</v>
      </c>
      <c r="CB7" s="190" t="s">
        <v>991</v>
      </c>
      <c r="CC7" s="190" t="s">
        <v>991</v>
      </c>
      <c r="CD7" s="190" t="s">
        <v>991</v>
      </c>
      <c r="CE7" s="190" t="s">
        <v>991</v>
      </c>
      <c r="CF7" s="190" t="s">
        <v>991</v>
      </c>
      <c r="CG7" s="190" t="s">
        <v>991</v>
      </c>
      <c r="CH7" s="190" t="s">
        <v>991</v>
      </c>
      <c r="CI7" s="190" t="s">
        <v>991</v>
      </c>
      <c r="CJ7" s="190" t="s">
        <v>991</v>
      </c>
      <c r="CK7" s="190" t="s">
        <v>991</v>
      </c>
      <c r="CL7" s="190" t="s">
        <v>991</v>
      </c>
      <c r="CM7" s="190" t="s">
        <v>991</v>
      </c>
      <c r="CN7" s="190" t="s">
        <v>991</v>
      </c>
      <c r="CO7" s="190" t="s">
        <v>991</v>
      </c>
      <c r="CP7" s="190" t="s">
        <v>991</v>
      </c>
      <c r="CQ7" s="190" t="s">
        <v>991</v>
      </c>
      <c r="CR7" s="190"/>
      <c r="CS7" s="190" t="s">
        <v>991</v>
      </c>
      <c r="CT7" s="190" t="s">
        <v>991</v>
      </c>
      <c r="CU7" s="190" t="s">
        <v>992</v>
      </c>
      <c r="CV7" s="190" t="s">
        <v>992</v>
      </c>
      <c r="CW7" s="190"/>
      <c r="CX7" s="190" t="s">
        <v>991</v>
      </c>
      <c r="CY7" s="190" t="s">
        <v>991</v>
      </c>
      <c r="CZ7" s="190" t="s">
        <v>991</v>
      </c>
      <c r="DA7" s="190" t="s">
        <v>991</v>
      </c>
      <c r="DB7" s="190" t="s">
        <v>991</v>
      </c>
      <c r="DC7" s="190" t="s">
        <v>991</v>
      </c>
      <c r="DD7" s="190" t="s">
        <v>991</v>
      </c>
      <c r="DE7" s="190"/>
      <c r="DF7" s="174">
        <v>6</v>
      </c>
      <c r="DH7" s="174" t="s">
        <v>907</v>
      </c>
      <c r="DI7" s="174" t="s">
        <v>968</v>
      </c>
      <c r="DL7" s="174">
        <v>2</v>
      </c>
      <c r="DO7" s="174">
        <v>2</v>
      </c>
      <c r="DQ7" s="174">
        <v>-2</v>
      </c>
      <c r="DR7" s="174">
        <v>2</v>
      </c>
      <c r="DY7" s="174">
        <v>12</v>
      </c>
      <c r="DZ7" s="174">
        <v>6</v>
      </c>
      <c r="EA7" s="174">
        <v>1</v>
      </c>
      <c r="EB7" s="174">
        <v>50</v>
      </c>
      <c r="ED7" s="174" t="s">
        <v>968</v>
      </c>
      <c r="EE7" s="174">
        <v>6543</v>
      </c>
      <c r="EF7" s="174">
        <v>6543</v>
      </c>
      <c r="EG7" s="174">
        <v>7654</v>
      </c>
      <c r="EH7" s="174">
        <v>6543</v>
      </c>
      <c r="EI7" s="174">
        <v>6543</v>
      </c>
      <c r="EJ7" s="174">
        <v>6543</v>
      </c>
      <c r="EK7" s="174">
        <v>6543</v>
      </c>
      <c r="EL7" s="174">
        <v>6421</v>
      </c>
      <c r="EN7" s="182" t="s">
        <v>1000</v>
      </c>
      <c r="ES7" s="174">
        <v>1</v>
      </c>
      <c r="ET7" s="174">
        <v>3</v>
      </c>
      <c r="EU7" s="174">
        <v>3</v>
      </c>
      <c r="EV7" s="174">
        <v>2</v>
      </c>
      <c r="EY7" s="174">
        <v>2</v>
      </c>
      <c r="EZ7" s="174">
        <v>2</v>
      </c>
      <c r="FA7" s="174">
        <v>1</v>
      </c>
      <c r="FB7" s="174">
        <v>3</v>
      </c>
      <c r="FF7" s="174">
        <v>1</v>
      </c>
      <c r="FK7" s="174">
        <v>1</v>
      </c>
      <c r="FZ7" s="174">
        <v>1</v>
      </c>
      <c r="GN7" s="174">
        <v>2</v>
      </c>
      <c r="GO7" s="174">
        <v>3</v>
      </c>
      <c r="GP7" s="174">
        <v>1</v>
      </c>
      <c r="GR7" s="174">
        <v>2</v>
      </c>
      <c r="HA7" s="174">
        <v>6</v>
      </c>
      <c r="HB7" s="197">
        <v>4</v>
      </c>
      <c r="HC7" s="183">
        <v>8</v>
      </c>
      <c r="HD7" s="183">
        <v>12</v>
      </c>
      <c r="HE7" s="183">
        <v>4</v>
      </c>
      <c r="HF7" s="183">
        <v>20</v>
      </c>
      <c r="HG7" s="193" t="e">
        <f t="shared" si="3"/>
        <v>#N/A</v>
      </c>
      <c r="HH7" s="192" t="e">
        <f t="shared" si="4"/>
        <v>#N/A</v>
      </c>
      <c r="HI7" s="198">
        <v>4</v>
      </c>
      <c r="HJ7" s="185">
        <v>20</v>
      </c>
      <c r="HK7" s="174">
        <v>5</v>
      </c>
      <c r="HL7" s="174">
        <v>45</v>
      </c>
      <c r="HM7" s="174">
        <v>35</v>
      </c>
      <c r="HN7" s="174">
        <v>35</v>
      </c>
      <c r="HO7" s="174">
        <v>35</v>
      </c>
      <c r="HP7" s="174">
        <v>35</v>
      </c>
      <c r="HQ7" s="174">
        <v>35</v>
      </c>
      <c r="HR7" s="174">
        <v>35</v>
      </c>
      <c r="HS7" s="174">
        <v>30</v>
      </c>
      <c r="HT7" s="174">
        <v>30</v>
      </c>
      <c r="HU7" s="174">
        <v>30</v>
      </c>
      <c r="HV7" s="174">
        <v>30</v>
      </c>
      <c r="HW7" s="174">
        <v>30</v>
      </c>
      <c r="HX7" s="174">
        <v>30</v>
      </c>
      <c r="HY7" s="174">
        <v>30</v>
      </c>
      <c r="HZ7" s="174">
        <v>30</v>
      </c>
      <c r="IA7" s="174">
        <v>25</v>
      </c>
      <c r="IB7" s="174">
        <v>25</v>
      </c>
      <c r="IC7" s="174">
        <v>20</v>
      </c>
      <c r="ID7" s="174">
        <v>15</v>
      </c>
      <c r="IE7" s="174">
        <v>10</v>
      </c>
      <c r="IF7" s="174">
        <v>7</v>
      </c>
      <c r="II7" s="174">
        <f>Skills!K318</f>
        <v>-14.50994</v>
      </c>
      <c r="IJ7" s="174" t="str">
        <f>Skills!B318</f>
        <v>1-H Edged</v>
      </c>
      <c r="IM7" s="174">
        <v>50000</v>
      </c>
      <c r="IN7" s="174">
        <v>5</v>
      </c>
    </row>
    <row r="8" spans="1:248" ht="13.35" customHeight="1" thickBot="1" x14ac:dyDescent="0.25">
      <c r="A8" s="183">
        <f t="shared" si="1"/>
        <v>7</v>
      </c>
      <c r="B8" s="184">
        <f t="shared" si="0"/>
        <v>-7</v>
      </c>
      <c r="C8" s="183">
        <f t="shared" si="2"/>
        <v>7</v>
      </c>
      <c r="E8" s="189" t="s">
        <v>434</v>
      </c>
      <c r="F8" s="190" t="s">
        <v>991</v>
      </c>
      <c r="G8" s="190" t="s">
        <v>1001</v>
      </c>
      <c r="H8" s="190" t="s">
        <v>995</v>
      </c>
      <c r="I8" s="190" t="s">
        <v>991</v>
      </c>
      <c r="J8" s="190" t="s">
        <v>1001</v>
      </c>
      <c r="K8" s="190" t="s">
        <v>1002</v>
      </c>
      <c r="L8" s="190" t="s">
        <v>1003</v>
      </c>
      <c r="M8" s="190" t="s">
        <v>1004</v>
      </c>
      <c r="N8" s="190" t="s">
        <v>1005</v>
      </c>
      <c r="O8" s="190" t="s">
        <v>1004</v>
      </c>
      <c r="P8" s="190" t="s">
        <v>1002</v>
      </c>
      <c r="Q8" s="190" t="s">
        <v>1002</v>
      </c>
      <c r="R8" s="190" t="s">
        <v>1003</v>
      </c>
      <c r="S8" s="190" t="s">
        <v>1003</v>
      </c>
      <c r="T8" s="190" t="s">
        <v>1006</v>
      </c>
      <c r="U8" s="190" t="s">
        <v>1006</v>
      </c>
      <c r="V8" s="190" t="s">
        <v>1006</v>
      </c>
      <c r="W8" s="190" t="s">
        <v>1007</v>
      </c>
      <c r="X8" s="190" t="s">
        <v>1008</v>
      </c>
      <c r="Y8" s="190" t="s">
        <v>1007</v>
      </c>
      <c r="Z8" s="190"/>
      <c r="AA8" s="190" t="s">
        <v>1003</v>
      </c>
      <c r="AB8" s="190" t="s">
        <v>1003</v>
      </c>
      <c r="AC8" s="190" t="s">
        <v>1001</v>
      </c>
      <c r="AD8" s="190" t="s">
        <v>1001</v>
      </c>
      <c r="AE8" s="190"/>
      <c r="AF8" s="190" t="s">
        <v>1002</v>
      </c>
      <c r="AG8" s="190" t="s">
        <v>1003</v>
      </c>
      <c r="AH8" s="190" t="s">
        <v>1006</v>
      </c>
      <c r="AI8" s="190"/>
      <c r="AJ8" s="190" t="s">
        <v>1006</v>
      </c>
      <c r="AK8" s="190" t="s">
        <v>1003</v>
      </c>
      <c r="AL8" s="190" t="s">
        <v>1004</v>
      </c>
      <c r="AM8" s="190" t="s">
        <v>1003</v>
      </c>
      <c r="AN8" s="190"/>
      <c r="AO8" s="190" t="s">
        <v>1003</v>
      </c>
      <c r="AP8" s="190" t="s">
        <v>1003</v>
      </c>
      <c r="AQ8" s="190" t="s">
        <v>1006</v>
      </c>
      <c r="AR8" s="190"/>
      <c r="AS8" s="190" t="s">
        <v>1004</v>
      </c>
      <c r="AT8" s="190" t="s">
        <v>1004</v>
      </c>
      <c r="AU8" s="190" t="s">
        <v>1004</v>
      </c>
      <c r="AV8" s="190" t="s">
        <v>1004</v>
      </c>
      <c r="AW8" s="190" t="s">
        <v>1004</v>
      </c>
      <c r="AX8" s="190" t="s">
        <v>1004</v>
      </c>
      <c r="AY8" s="190" t="s">
        <v>1004</v>
      </c>
      <c r="AZ8" s="190" t="s">
        <v>1004</v>
      </c>
      <c r="BA8" s="190" t="s">
        <v>1004</v>
      </c>
      <c r="BB8" s="190" t="s">
        <v>1004</v>
      </c>
      <c r="BC8" s="190" t="s">
        <v>1004</v>
      </c>
      <c r="BD8" s="190" t="s">
        <v>1004</v>
      </c>
      <c r="BE8" s="190" t="s">
        <v>1004</v>
      </c>
      <c r="BF8" s="190" t="s">
        <v>1004</v>
      </c>
      <c r="BG8" s="190" t="s">
        <v>1004</v>
      </c>
      <c r="BH8" s="190" t="s">
        <v>1004</v>
      </c>
      <c r="BI8" s="190" t="s">
        <v>1004</v>
      </c>
      <c r="BJ8" s="190" t="s">
        <v>1004</v>
      </c>
      <c r="BK8" s="190" t="s">
        <v>1004</v>
      </c>
      <c r="BL8" s="190" t="s">
        <v>1004</v>
      </c>
      <c r="BM8" s="190" t="s">
        <v>1004</v>
      </c>
      <c r="BN8" s="190" t="s">
        <v>1004</v>
      </c>
      <c r="BO8" s="190" t="s">
        <v>1004</v>
      </c>
      <c r="BP8" s="190" t="s">
        <v>1004</v>
      </c>
      <c r="BQ8" s="190" t="s">
        <v>1004</v>
      </c>
      <c r="BR8" s="190" t="s">
        <v>1004</v>
      </c>
      <c r="BS8" s="190" t="s">
        <v>1004</v>
      </c>
      <c r="BT8" s="190" t="s">
        <v>1004</v>
      </c>
      <c r="BU8" s="190" t="s">
        <v>1004</v>
      </c>
      <c r="BV8" s="190" t="s">
        <v>1004</v>
      </c>
      <c r="BW8" s="190" t="s">
        <v>1004</v>
      </c>
      <c r="BX8" s="190" t="s">
        <v>1004</v>
      </c>
      <c r="BY8" s="190" t="s">
        <v>1004</v>
      </c>
      <c r="BZ8" s="190" t="s">
        <v>1004</v>
      </c>
      <c r="CA8" s="190" t="s">
        <v>1004</v>
      </c>
      <c r="CB8" s="190" t="s">
        <v>1004</v>
      </c>
      <c r="CC8" s="190" t="s">
        <v>1004</v>
      </c>
      <c r="CD8" s="190" t="s">
        <v>1004</v>
      </c>
      <c r="CE8" s="190" t="s">
        <v>1004</v>
      </c>
      <c r="CF8" s="190" t="s">
        <v>1004</v>
      </c>
      <c r="CG8" s="190" t="s">
        <v>1004</v>
      </c>
      <c r="CH8" s="190" t="s">
        <v>1004</v>
      </c>
      <c r="CI8" s="190" t="s">
        <v>1004</v>
      </c>
      <c r="CJ8" s="190" t="s">
        <v>1004</v>
      </c>
      <c r="CK8" s="190" t="s">
        <v>1004</v>
      </c>
      <c r="CL8" s="190" t="s">
        <v>1004</v>
      </c>
      <c r="CM8" s="190" t="s">
        <v>1004</v>
      </c>
      <c r="CN8" s="190" t="s">
        <v>1004</v>
      </c>
      <c r="CO8" s="190" t="s">
        <v>1004</v>
      </c>
      <c r="CP8" s="190" t="s">
        <v>1004</v>
      </c>
      <c r="CQ8" s="190" t="s">
        <v>1004</v>
      </c>
      <c r="CR8" s="190"/>
      <c r="CS8" s="190" t="s">
        <v>992</v>
      </c>
      <c r="CT8" s="190" t="s">
        <v>991</v>
      </c>
      <c r="CU8" s="190" t="s">
        <v>1001</v>
      </c>
      <c r="CV8" s="190" t="s">
        <v>995</v>
      </c>
      <c r="CW8" s="190"/>
      <c r="CX8" s="190" t="s">
        <v>1006</v>
      </c>
      <c r="CY8" s="190" t="s">
        <v>1004</v>
      </c>
      <c r="CZ8" s="190" t="s">
        <v>1005</v>
      </c>
      <c r="DA8" s="190" t="s">
        <v>992</v>
      </c>
      <c r="DB8" s="190" t="s">
        <v>1009</v>
      </c>
      <c r="DC8" s="190" t="s">
        <v>1009</v>
      </c>
      <c r="DD8" s="190" t="s">
        <v>1009</v>
      </c>
      <c r="DE8" s="190"/>
      <c r="DF8" s="174">
        <v>7</v>
      </c>
      <c r="DH8" s="182" t="s">
        <v>936</v>
      </c>
      <c r="DI8" s="182" t="s">
        <v>947</v>
      </c>
      <c r="DJ8" s="182">
        <v>4</v>
      </c>
      <c r="DK8" s="182"/>
      <c r="DL8" s="182"/>
      <c r="DM8" s="182"/>
      <c r="DN8" s="182"/>
      <c r="DO8" s="182">
        <v>4</v>
      </c>
      <c r="DP8" s="182"/>
      <c r="DQ8" s="182">
        <v>2</v>
      </c>
      <c r="DR8" s="182"/>
      <c r="DS8" s="182"/>
      <c r="DT8" s="182"/>
      <c r="DU8" s="182"/>
      <c r="DV8" s="182"/>
      <c r="DW8" s="182">
        <v>5</v>
      </c>
      <c r="DX8" s="182">
        <v>15</v>
      </c>
      <c r="DY8" s="182">
        <v>10</v>
      </c>
      <c r="DZ8" s="182">
        <v>5</v>
      </c>
      <c r="EA8" s="182">
        <v>0.75</v>
      </c>
      <c r="EB8" s="182">
        <v>40</v>
      </c>
      <c r="ED8" s="174" t="s">
        <v>947</v>
      </c>
      <c r="EE8" s="174">
        <v>6543</v>
      </c>
      <c r="EF8" s="174">
        <v>6543</v>
      </c>
      <c r="EG8" s="174">
        <v>7654</v>
      </c>
      <c r="EH8" s="174">
        <v>6453</v>
      </c>
      <c r="EI8" s="174">
        <v>6543</v>
      </c>
      <c r="EJ8" s="174">
        <v>6543</v>
      </c>
      <c r="EK8" s="174">
        <v>6543</v>
      </c>
      <c r="EL8" s="174">
        <v>7531</v>
      </c>
      <c r="EN8" s="174" t="s">
        <v>411</v>
      </c>
      <c r="ES8" s="174">
        <v>1</v>
      </c>
      <c r="ET8" s="174">
        <v>3</v>
      </c>
      <c r="EU8" s="174">
        <v>3</v>
      </c>
      <c r="EV8" s="174">
        <v>2</v>
      </c>
      <c r="EY8" s="174">
        <v>2</v>
      </c>
      <c r="EZ8" s="174">
        <v>2</v>
      </c>
      <c r="FA8" s="174">
        <v>1</v>
      </c>
      <c r="FB8" s="174">
        <v>3</v>
      </c>
      <c r="FF8" s="174">
        <v>1</v>
      </c>
      <c r="FK8" s="174">
        <v>1</v>
      </c>
      <c r="FZ8" s="174">
        <v>1</v>
      </c>
      <c r="GN8" s="174">
        <v>2</v>
      </c>
      <c r="GO8" s="174">
        <v>3</v>
      </c>
      <c r="GP8" s="174">
        <v>1</v>
      </c>
      <c r="GR8" s="174">
        <v>2</v>
      </c>
      <c r="HA8" s="174">
        <v>7</v>
      </c>
      <c r="HB8" s="197">
        <v>5</v>
      </c>
      <c r="HC8" s="183">
        <v>10</v>
      </c>
      <c r="HD8" s="183">
        <v>15</v>
      </c>
      <c r="HE8" s="183">
        <v>5</v>
      </c>
      <c r="HF8" s="183">
        <v>25</v>
      </c>
      <c r="HG8" s="193" t="e">
        <f t="shared" si="3"/>
        <v>#N/A</v>
      </c>
      <c r="HH8" s="192" t="e">
        <f t="shared" si="4"/>
        <v>#N/A</v>
      </c>
      <c r="HI8" s="198">
        <v>5</v>
      </c>
      <c r="HJ8" s="185">
        <v>25</v>
      </c>
      <c r="HK8" s="174">
        <v>6</v>
      </c>
      <c r="HL8" s="174">
        <v>54</v>
      </c>
      <c r="HM8" s="174">
        <v>42</v>
      </c>
      <c r="HN8" s="174">
        <v>42</v>
      </c>
      <c r="HO8" s="174">
        <v>42</v>
      </c>
      <c r="HP8" s="174">
        <v>42</v>
      </c>
      <c r="HQ8" s="174">
        <v>42</v>
      </c>
      <c r="HR8" s="174">
        <v>42</v>
      </c>
      <c r="HS8" s="174">
        <v>36</v>
      </c>
      <c r="HT8" s="174">
        <v>36</v>
      </c>
      <c r="HU8" s="174">
        <v>36</v>
      </c>
      <c r="HV8" s="174">
        <v>36</v>
      </c>
      <c r="HW8" s="174">
        <v>36</v>
      </c>
      <c r="HX8" s="174">
        <v>36</v>
      </c>
      <c r="HY8" s="174">
        <v>36</v>
      </c>
      <c r="HZ8" s="174">
        <v>36</v>
      </c>
      <c r="IA8" s="174">
        <v>30</v>
      </c>
      <c r="IB8" s="174">
        <v>30</v>
      </c>
      <c r="IC8" s="174">
        <v>24</v>
      </c>
      <c r="ID8" s="174">
        <v>18</v>
      </c>
      <c r="IE8" s="174">
        <v>12</v>
      </c>
      <c r="IF8" s="174">
        <v>8</v>
      </c>
      <c r="II8" s="174">
        <f>Skills!K320</f>
        <v>-14.509930000000001</v>
      </c>
      <c r="IJ8" s="174" t="str">
        <f>Skills!B320</f>
        <v>2-Handed</v>
      </c>
      <c r="IM8" s="174">
        <v>70000</v>
      </c>
      <c r="IN8" s="174">
        <v>6</v>
      </c>
    </row>
    <row r="9" spans="1:248" ht="13.35" customHeight="1" thickBot="1" x14ac:dyDescent="0.25">
      <c r="A9" s="183">
        <f t="shared" si="1"/>
        <v>8</v>
      </c>
      <c r="B9" s="184">
        <f t="shared" si="0"/>
        <v>-6</v>
      </c>
      <c r="C9" s="183">
        <f t="shared" si="2"/>
        <v>8</v>
      </c>
      <c r="E9" s="189" t="s">
        <v>441</v>
      </c>
      <c r="F9" s="190" t="s">
        <v>995</v>
      </c>
      <c r="G9" s="190" t="s">
        <v>1010</v>
      </c>
      <c r="H9" s="190" t="s">
        <v>991</v>
      </c>
      <c r="I9" s="190" t="s">
        <v>995</v>
      </c>
      <c r="J9" s="190" t="s">
        <v>1010</v>
      </c>
      <c r="K9" s="190" t="s">
        <v>1009</v>
      </c>
      <c r="L9" s="190" t="s">
        <v>1009</v>
      </c>
      <c r="M9" s="190" t="s">
        <v>1009</v>
      </c>
      <c r="N9" s="190" t="s">
        <v>1009</v>
      </c>
      <c r="O9" s="190" t="s">
        <v>1009</v>
      </c>
      <c r="P9" s="190" t="s">
        <v>1009</v>
      </c>
      <c r="Q9" s="190" t="s">
        <v>1009</v>
      </c>
      <c r="R9" s="190" t="s">
        <v>1009</v>
      </c>
      <c r="S9" s="190" t="s">
        <v>1009</v>
      </c>
      <c r="T9" s="190" t="s">
        <v>993</v>
      </c>
      <c r="U9" s="190" t="s">
        <v>1010</v>
      </c>
      <c r="V9" s="190" t="s">
        <v>1010</v>
      </c>
      <c r="W9" s="190" t="s">
        <v>1010</v>
      </c>
      <c r="X9" s="190" t="s">
        <v>1010</v>
      </c>
      <c r="Y9" s="190" t="s">
        <v>1010</v>
      </c>
      <c r="Z9" s="190"/>
      <c r="AA9" s="190" t="s">
        <v>1009</v>
      </c>
      <c r="AB9" s="190" t="s">
        <v>1009</v>
      </c>
      <c r="AC9" s="190" t="s">
        <v>995</v>
      </c>
      <c r="AD9" s="190" t="s">
        <v>995</v>
      </c>
      <c r="AE9" s="190"/>
      <c r="AF9" s="190" t="s">
        <v>1009</v>
      </c>
      <c r="AG9" s="190" t="s">
        <v>1009</v>
      </c>
      <c r="AH9" s="190" t="s">
        <v>1010</v>
      </c>
      <c r="AI9" s="190"/>
      <c r="AJ9" s="190" t="s">
        <v>995</v>
      </c>
      <c r="AK9" s="190" t="s">
        <v>1009</v>
      </c>
      <c r="AL9" s="190" t="s">
        <v>1009</v>
      </c>
      <c r="AM9" s="190" t="s">
        <v>1009</v>
      </c>
      <c r="AN9" s="190"/>
      <c r="AO9" s="190" t="s">
        <v>1009</v>
      </c>
      <c r="AP9" s="190" t="s">
        <v>1009</v>
      </c>
      <c r="AQ9" s="190" t="s">
        <v>991</v>
      </c>
      <c r="AR9" s="190"/>
      <c r="AS9" s="190" t="s">
        <v>1009</v>
      </c>
      <c r="AT9" s="190" t="s">
        <v>1009</v>
      </c>
      <c r="AU9" s="190" t="s">
        <v>1009</v>
      </c>
      <c r="AV9" s="190" t="s">
        <v>1009</v>
      </c>
      <c r="AW9" s="190" t="s">
        <v>1009</v>
      </c>
      <c r="AX9" s="190" t="s">
        <v>1009</v>
      </c>
      <c r="AY9" s="190" t="s">
        <v>1009</v>
      </c>
      <c r="AZ9" s="190" t="s">
        <v>1009</v>
      </c>
      <c r="BA9" s="190" t="s">
        <v>1009</v>
      </c>
      <c r="BB9" s="190" t="s">
        <v>1009</v>
      </c>
      <c r="BC9" s="190" t="s">
        <v>1009</v>
      </c>
      <c r="BD9" s="190" t="s">
        <v>1009</v>
      </c>
      <c r="BE9" s="190" t="s">
        <v>1009</v>
      </c>
      <c r="BF9" s="190" t="s">
        <v>1009</v>
      </c>
      <c r="BG9" s="190" t="s">
        <v>1009</v>
      </c>
      <c r="BH9" s="190" t="s">
        <v>1009</v>
      </c>
      <c r="BI9" s="190" t="s">
        <v>1009</v>
      </c>
      <c r="BJ9" s="190" t="s">
        <v>1009</v>
      </c>
      <c r="BK9" s="190" t="s">
        <v>1009</v>
      </c>
      <c r="BL9" s="190" t="s">
        <v>1009</v>
      </c>
      <c r="BM9" s="190" t="s">
        <v>1009</v>
      </c>
      <c r="BN9" s="190" t="s">
        <v>1009</v>
      </c>
      <c r="BO9" s="190" t="s">
        <v>1009</v>
      </c>
      <c r="BP9" s="190" t="s">
        <v>1009</v>
      </c>
      <c r="BQ9" s="190" t="s">
        <v>1009</v>
      </c>
      <c r="BR9" s="190" t="s">
        <v>1009</v>
      </c>
      <c r="BS9" s="190" t="s">
        <v>1009</v>
      </c>
      <c r="BT9" s="190" t="s">
        <v>1009</v>
      </c>
      <c r="BU9" s="190" t="s">
        <v>1009</v>
      </c>
      <c r="BV9" s="190" t="s">
        <v>1009</v>
      </c>
      <c r="BW9" s="190" t="s">
        <v>1009</v>
      </c>
      <c r="BX9" s="190" t="s">
        <v>1009</v>
      </c>
      <c r="BY9" s="190" t="s">
        <v>1009</v>
      </c>
      <c r="BZ9" s="190" t="s">
        <v>1009</v>
      </c>
      <c r="CA9" s="190" t="s">
        <v>1009</v>
      </c>
      <c r="CB9" s="190" t="s">
        <v>1009</v>
      </c>
      <c r="CC9" s="190" t="s">
        <v>1009</v>
      </c>
      <c r="CD9" s="190" t="s">
        <v>1009</v>
      </c>
      <c r="CE9" s="190" t="s">
        <v>1009</v>
      </c>
      <c r="CF9" s="190" t="s">
        <v>1009</v>
      </c>
      <c r="CG9" s="190" t="s">
        <v>1009</v>
      </c>
      <c r="CH9" s="190" t="s">
        <v>1009</v>
      </c>
      <c r="CI9" s="190" t="s">
        <v>1009</v>
      </c>
      <c r="CJ9" s="190" t="s">
        <v>1009</v>
      </c>
      <c r="CK9" s="190" t="s">
        <v>1009</v>
      </c>
      <c r="CL9" s="190" t="s">
        <v>1009</v>
      </c>
      <c r="CM9" s="190" t="s">
        <v>1009</v>
      </c>
      <c r="CN9" s="190" t="s">
        <v>1009</v>
      </c>
      <c r="CO9" s="190" t="s">
        <v>1009</v>
      </c>
      <c r="CP9" s="190" t="s">
        <v>1009</v>
      </c>
      <c r="CQ9" s="190" t="s">
        <v>1009</v>
      </c>
      <c r="CR9" s="190"/>
      <c r="CS9" s="190" t="s">
        <v>991</v>
      </c>
      <c r="CT9" s="190" t="s">
        <v>993</v>
      </c>
      <c r="CU9" s="190" t="s">
        <v>1001</v>
      </c>
      <c r="CV9" s="190" t="s">
        <v>995</v>
      </c>
      <c r="CW9" s="190"/>
      <c r="CX9" s="190" t="s">
        <v>1010</v>
      </c>
      <c r="CY9" s="190" t="s">
        <v>1009</v>
      </c>
      <c r="CZ9" s="190" t="s">
        <v>1009</v>
      </c>
      <c r="DA9" s="190" t="s">
        <v>991</v>
      </c>
      <c r="DB9" s="190" t="s">
        <v>1009</v>
      </c>
      <c r="DC9" s="190" t="s">
        <v>1009</v>
      </c>
      <c r="DD9" s="190" t="s">
        <v>1009</v>
      </c>
      <c r="DE9" s="190"/>
      <c r="DF9" s="174">
        <v>8</v>
      </c>
      <c r="DH9" s="174" t="s">
        <v>1011</v>
      </c>
      <c r="DI9" s="174" t="s">
        <v>978</v>
      </c>
      <c r="DJ9" s="174">
        <v>14</v>
      </c>
      <c r="DK9" s="174">
        <v>-4</v>
      </c>
      <c r="DL9" s="174">
        <v>-4</v>
      </c>
      <c r="DM9" s="174">
        <v>-4</v>
      </c>
      <c r="DN9" s="174">
        <v>-6</v>
      </c>
      <c r="DO9" s="174">
        <v>14</v>
      </c>
      <c r="DP9" s="174">
        <v>-4</v>
      </c>
      <c r="DQ9" s="174">
        <v>-4</v>
      </c>
      <c r="DR9" s="174">
        <v>-4</v>
      </c>
      <c r="DS9" s="174">
        <v>-6</v>
      </c>
      <c r="DW9" s="174">
        <v>30</v>
      </c>
      <c r="DX9" s="174">
        <v>10</v>
      </c>
      <c r="DY9" s="174">
        <v>1</v>
      </c>
      <c r="DZ9" s="174">
        <v>2</v>
      </c>
      <c r="EA9" s="174">
        <v>0.5</v>
      </c>
      <c r="EB9" s="174">
        <f>DZ9*10</f>
        <v>20</v>
      </c>
      <c r="ED9" s="174" t="s">
        <v>978</v>
      </c>
      <c r="EE9" s="174">
        <v>2111</v>
      </c>
      <c r="EF9" s="174">
        <v>2111</v>
      </c>
      <c r="EG9" s="174">
        <v>2111</v>
      </c>
      <c r="EH9" s="174">
        <v>2111</v>
      </c>
      <c r="EI9" s="174">
        <v>2111</v>
      </c>
      <c r="EJ9" s="174">
        <v>2111</v>
      </c>
      <c r="EK9" s="174">
        <v>2111</v>
      </c>
      <c r="EL9" s="174">
        <v>9853</v>
      </c>
      <c r="EN9" s="182" t="s">
        <v>1012</v>
      </c>
      <c r="EO9" s="174">
        <v>1</v>
      </c>
      <c r="EP9" s="174">
        <v>1</v>
      </c>
      <c r="EQ9" s="174">
        <v>1</v>
      </c>
      <c r="ER9" s="174">
        <v>1</v>
      </c>
      <c r="ES9" s="174">
        <v>1</v>
      </c>
      <c r="ET9" s="174">
        <v>1</v>
      </c>
      <c r="EU9" s="174">
        <v>1</v>
      </c>
      <c r="EV9" s="174">
        <v>1</v>
      </c>
      <c r="EW9" s="174">
        <v>1</v>
      </c>
      <c r="EX9" s="174">
        <v>1</v>
      </c>
      <c r="EY9" s="174">
        <v>1</v>
      </c>
      <c r="EZ9" s="174">
        <v>1</v>
      </c>
      <c r="FA9" s="174">
        <v>1</v>
      </c>
      <c r="FB9" s="174">
        <v>1</v>
      </c>
      <c r="FC9" s="174">
        <v>1</v>
      </c>
      <c r="FD9" s="174">
        <v>1</v>
      </c>
      <c r="FE9" s="174">
        <v>1</v>
      </c>
      <c r="FF9" s="174">
        <v>1</v>
      </c>
      <c r="FG9" s="174">
        <v>1</v>
      </c>
      <c r="FH9" s="174">
        <v>1</v>
      </c>
      <c r="FI9" s="174">
        <v>1</v>
      </c>
      <c r="FJ9" s="174">
        <v>1</v>
      </c>
      <c r="FK9" s="174">
        <v>1</v>
      </c>
      <c r="FL9" s="174">
        <v>1</v>
      </c>
      <c r="FM9" s="174">
        <v>1</v>
      </c>
      <c r="FN9" s="174">
        <v>1</v>
      </c>
      <c r="FO9" s="174">
        <v>1</v>
      </c>
      <c r="FP9" s="174">
        <v>1</v>
      </c>
      <c r="FQ9" s="174">
        <v>1</v>
      </c>
      <c r="FR9" s="174">
        <v>1</v>
      </c>
      <c r="FS9" s="174">
        <v>1</v>
      </c>
      <c r="FT9" s="174">
        <v>1</v>
      </c>
      <c r="FU9" s="174">
        <v>1</v>
      </c>
      <c r="FV9" s="174">
        <v>1</v>
      </c>
      <c r="FW9" s="174">
        <v>1</v>
      </c>
      <c r="FX9" s="174">
        <v>1</v>
      </c>
      <c r="FY9" s="174">
        <v>1</v>
      </c>
      <c r="FZ9" s="174">
        <v>1</v>
      </c>
      <c r="GA9" s="174">
        <v>1</v>
      </c>
      <c r="GB9" s="174">
        <v>1</v>
      </c>
      <c r="GC9" s="174">
        <v>1</v>
      </c>
      <c r="GD9" s="174">
        <v>1</v>
      </c>
      <c r="GE9" s="174">
        <v>1</v>
      </c>
      <c r="GF9" s="174">
        <v>1</v>
      </c>
      <c r="GG9" s="174">
        <v>1</v>
      </c>
      <c r="GH9" s="174">
        <v>1</v>
      </c>
      <c r="GL9" s="174">
        <v>1</v>
      </c>
      <c r="GM9" s="174">
        <v>1</v>
      </c>
      <c r="GN9" s="174">
        <v>1</v>
      </c>
      <c r="GO9" s="174">
        <v>1</v>
      </c>
      <c r="GP9" s="174">
        <v>1</v>
      </c>
      <c r="GQ9" s="174">
        <v>1</v>
      </c>
      <c r="GR9" s="174">
        <v>1</v>
      </c>
      <c r="HA9" s="174">
        <v>8</v>
      </c>
      <c r="HB9" s="197">
        <v>6</v>
      </c>
      <c r="HC9" s="183">
        <v>12</v>
      </c>
      <c r="HD9" s="183">
        <v>18</v>
      </c>
      <c r="HE9" s="183">
        <v>6</v>
      </c>
      <c r="HF9" s="183">
        <v>30</v>
      </c>
      <c r="HG9" s="193" t="e">
        <f t="shared" si="3"/>
        <v>#N/A</v>
      </c>
      <c r="HH9" s="192" t="e">
        <f t="shared" si="4"/>
        <v>#N/A</v>
      </c>
      <c r="HI9" s="198">
        <v>6</v>
      </c>
      <c r="HJ9" s="185">
        <v>30</v>
      </c>
      <c r="HK9" s="174">
        <v>7</v>
      </c>
      <c r="HL9" s="174">
        <v>63</v>
      </c>
      <c r="HM9" s="174">
        <v>49</v>
      </c>
      <c r="HN9" s="174">
        <v>49</v>
      </c>
      <c r="HO9" s="174">
        <v>49</v>
      </c>
      <c r="HP9" s="174">
        <v>49</v>
      </c>
      <c r="HQ9" s="174">
        <v>49</v>
      </c>
      <c r="HR9" s="174">
        <v>49</v>
      </c>
      <c r="HS9" s="174">
        <v>42</v>
      </c>
      <c r="HT9" s="174">
        <v>42</v>
      </c>
      <c r="HU9" s="174">
        <v>42</v>
      </c>
      <c r="HV9" s="174">
        <v>42</v>
      </c>
      <c r="HW9" s="174">
        <v>42</v>
      </c>
      <c r="HX9" s="174">
        <v>42</v>
      </c>
      <c r="HY9" s="174">
        <v>42</v>
      </c>
      <c r="HZ9" s="174">
        <v>42</v>
      </c>
      <c r="IA9" s="174">
        <v>35</v>
      </c>
      <c r="IB9" s="174">
        <v>35</v>
      </c>
      <c r="IC9" s="174">
        <v>28</v>
      </c>
      <c r="ID9" s="174">
        <v>21</v>
      </c>
      <c r="IE9" s="174">
        <v>14</v>
      </c>
      <c r="IF9" s="174">
        <v>9</v>
      </c>
      <c r="II9" s="174">
        <f>Skills!K321</f>
        <v>-14.509919999999999</v>
      </c>
      <c r="IJ9" s="174" t="str">
        <f>Skills!B321</f>
        <v>2-Handed</v>
      </c>
      <c r="IM9" s="174">
        <v>90000</v>
      </c>
      <c r="IN9" s="174">
        <v>7</v>
      </c>
    </row>
    <row r="10" spans="1:248" ht="13.35" customHeight="1" thickBot="1" x14ac:dyDescent="0.25">
      <c r="A10" s="183">
        <f t="shared" si="1"/>
        <v>9</v>
      </c>
      <c r="B10" s="184">
        <f t="shared" si="0"/>
        <v>-6</v>
      </c>
      <c r="C10" s="183">
        <f t="shared" si="2"/>
        <v>9</v>
      </c>
      <c r="E10" s="189" t="s">
        <v>454</v>
      </c>
      <c r="F10" s="190" t="s">
        <v>991</v>
      </c>
      <c r="G10" s="190" t="s">
        <v>999</v>
      </c>
      <c r="H10" s="190" t="s">
        <v>993</v>
      </c>
      <c r="I10" s="190" t="s">
        <v>999</v>
      </c>
      <c r="J10" s="190" t="s">
        <v>995</v>
      </c>
      <c r="K10" s="190" t="s">
        <v>1009</v>
      </c>
      <c r="L10" s="190" t="s">
        <v>1009</v>
      </c>
      <c r="M10" s="190" t="s">
        <v>1009</v>
      </c>
      <c r="N10" s="190" t="s">
        <v>1009</v>
      </c>
      <c r="O10" s="190" t="s">
        <v>1007</v>
      </c>
      <c r="P10" s="190" t="s">
        <v>1007</v>
      </c>
      <c r="Q10" s="190" t="s">
        <v>1009</v>
      </c>
      <c r="R10" s="190" t="s">
        <v>1009</v>
      </c>
      <c r="S10" s="190" t="s">
        <v>1009</v>
      </c>
      <c r="T10" s="190" t="s">
        <v>1001</v>
      </c>
      <c r="U10" s="190" t="s">
        <v>1006</v>
      </c>
      <c r="V10" s="190" t="s">
        <v>993</v>
      </c>
      <c r="W10" s="190" t="s">
        <v>992</v>
      </c>
      <c r="X10" s="190" t="s">
        <v>995</v>
      </c>
      <c r="Y10" s="190" t="s">
        <v>992</v>
      </c>
      <c r="Z10" s="190"/>
      <c r="AA10" s="190" t="s">
        <v>1009</v>
      </c>
      <c r="AB10" s="190" t="s">
        <v>1009</v>
      </c>
      <c r="AC10" s="190" t="s">
        <v>995</v>
      </c>
      <c r="AD10" s="190" t="s">
        <v>993</v>
      </c>
      <c r="AE10" s="190"/>
      <c r="AF10" s="190" t="s">
        <v>1009</v>
      </c>
      <c r="AG10" s="190" t="s">
        <v>1009</v>
      </c>
      <c r="AH10" s="190" t="s">
        <v>1006</v>
      </c>
      <c r="AI10" s="190"/>
      <c r="AJ10" s="190" t="s">
        <v>1001</v>
      </c>
      <c r="AK10" s="190" t="s">
        <v>1009</v>
      </c>
      <c r="AL10" s="190" t="s">
        <v>1007</v>
      </c>
      <c r="AM10" s="190" t="s">
        <v>1009</v>
      </c>
      <c r="AN10" s="190"/>
      <c r="AO10" s="190" t="s">
        <v>1009</v>
      </c>
      <c r="AP10" s="190" t="s">
        <v>1009</v>
      </c>
      <c r="AQ10" s="190" t="s">
        <v>991</v>
      </c>
      <c r="AR10" s="190"/>
      <c r="AS10" s="190" t="s">
        <v>1009</v>
      </c>
      <c r="AT10" s="190" t="s">
        <v>1009</v>
      </c>
      <c r="AU10" s="190" t="s">
        <v>1009</v>
      </c>
      <c r="AV10" s="190" t="s">
        <v>1009</v>
      </c>
      <c r="AW10" s="190" t="s">
        <v>1009</v>
      </c>
      <c r="AX10" s="190" t="s">
        <v>1009</v>
      </c>
      <c r="AY10" s="190" t="s">
        <v>1009</v>
      </c>
      <c r="AZ10" s="190" t="s">
        <v>1009</v>
      </c>
      <c r="BA10" s="190" t="s">
        <v>1009</v>
      </c>
      <c r="BB10" s="190" t="s">
        <v>1009</v>
      </c>
      <c r="BC10" s="190" t="s">
        <v>1009</v>
      </c>
      <c r="BD10" s="190" t="s">
        <v>1009</v>
      </c>
      <c r="BE10" s="190" t="s">
        <v>1009</v>
      </c>
      <c r="BF10" s="190" t="s">
        <v>1009</v>
      </c>
      <c r="BG10" s="190" t="s">
        <v>1009</v>
      </c>
      <c r="BH10" s="190" t="s">
        <v>1009</v>
      </c>
      <c r="BI10" s="190" t="s">
        <v>1009</v>
      </c>
      <c r="BJ10" s="190" t="s">
        <v>1009</v>
      </c>
      <c r="BK10" s="190" t="s">
        <v>1009</v>
      </c>
      <c r="BL10" s="190" t="s">
        <v>1009</v>
      </c>
      <c r="BM10" s="190" t="s">
        <v>1009</v>
      </c>
      <c r="BN10" s="190" t="s">
        <v>1009</v>
      </c>
      <c r="BO10" s="190" t="s">
        <v>1009</v>
      </c>
      <c r="BP10" s="190" t="s">
        <v>1009</v>
      </c>
      <c r="BQ10" s="190" t="s">
        <v>1009</v>
      </c>
      <c r="BR10" s="190" t="s">
        <v>1009</v>
      </c>
      <c r="BS10" s="190" t="s">
        <v>1009</v>
      </c>
      <c r="BT10" s="190" t="s">
        <v>1009</v>
      </c>
      <c r="BU10" s="190" t="s">
        <v>1009</v>
      </c>
      <c r="BV10" s="190" t="s">
        <v>1009</v>
      </c>
      <c r="BW10" s="190" t="s">
        <v>1009</v>
      </c>
      <c r="BX10" s="190" t="s">
        <v>1009</v>
      </c>
      <c r="BY10" s="190" t="s">
        <v>1009</v>
      </c>
      <c r="BZ10" s="190" t="s">
        <v>1009</v>
      </c>
      <c r="CA10" s="190" t="s">
        <v>1009</v>
      </c>
      <c r="CB10" s="190" t="s">
        <v>1009</v>
      </c>
      <c r="CC10" s="190" t="s">
        <v>1009</v>
      </c>
      <c r="CD10" s="190" t="s">
        <v>1009</v>
      </c>
      <c r="CE10" s="190" t="s">
        <v>1009</v>
      </c>
      <c r="CF10" s="190" t="s">
        <v>1009</v>
      </c>
      <c r="CG10" s="190" t="s">
        <v>1009</v>
      </c>
      <c r="CH10" s="190" t="s">
        <v>1009</v>
      </c>
      <c r="CI10" s="190" t="s">
        <v>1009</v>
      </c>
      <c r="CJ10" s="190" t="s">
        <v>1009</v>
      </c>
      <c r="CK10" s="190" t="s">
        <v>1009</v>
      </c>
      <c r="CL10" s="190" t="s">
        <v>1009</v>
      </c>
      <c r="CM10" s="190" t="s">
        <v>1009</v>
      </c>
      <c r="CN10" s="190" t="s">
        <v>1009</v>
      </c>
      <c r="CO10" s="190" t="s">
        <v>1009</v>
      </c>
      <c r="CP10" s="190" t="s">
        <v>1009</v>
      </c>
      <c r="CQ10" s="190" t="s">
        <v>1009</v>
      </c>
      <c r="CR10" s="190"/>
      <c r="CS10" s="190" t="s">
        <v>995</v>
      </c>
      <c r="CT10" s="190" t="s">
        <v>999</v>
      </c>
      <c r="CU10" s="190" t="s">
        <v>1001</v>
      </c>
      <c r="CV10" s="190" t="s">
        <v>992</v>
      </c>
      <c r="CW10" s="190"/>
      <c r="CX10" s="190" t="s">
        <v>1006</v>
      </c>
      <c r="CY10" s="190" t="s">
        <v>1009</v>
      </c>
      <c r="CZ10" s="190" t="s">
        <v>1009</v>
      </c>
      <c r="DA10" s="190" t="s">
        <v>995</v>
      </c>
      <c r="DB10" s="190" t="s">
        <v>1002</v>
      </c>
      <c r="DC10" s="190" t="s">
        <v>1002</v>
      </c>
      <c r="DD10" s="190" t="s">
        <v>1007</v>
      </c>
      <c r="DE10" s="190"/>
      <c r="DF10" s="174">
        <v>9</v>
      </c>
      <c r="DH10" s="182" t="s">
        <v>1013</v>
      </c>
      <c r="DI10" s="182" t="s">
        <v>913</v>
      </c>
      <c r="DJ10" s="182">
        <v>6</v>
      </c>
      <c r="DK10" s="182">
        <v>-2</v>
      </c>
      <c r="DL10" s="182">
        <v>-4</v>
      </c>
      <c r="DM10" s="182">
        <v>-2</v>
      </c>
      <c r="DN10" s="182">
        <v>-4</v>
      </c>
      <c r="DO10" s="182">
        <v>2</v>
      </c>
      <c r="DP10" s="182"/>
      <c r="DQ10" s="182">
        <v>-4</v>
      </c>
      <c r="DR10" s="182">
        <v>-2</v>
      </c>
      <c r="DS10" s="182">
        <v>-4</v>
      </c>
      <c r="DT10" s="182"/>
      <c r="DU10" s="182"/>
      <c r="DV10" s="182"/>
      <c r="DW10" s="182">
        <v>20</v>
      </c>
      <c r="DX10" s="182">
        <v>5</v>
      </c>
      <c r="DY10" s="182">
        <v>1</v>
      </c>
      <c r="DZ10" s="182">
        <v>5</v>
      </c>
      <c r="EA10" s="182">
        <v>0.5</v>
      </c>
      <c r="EB10" s="182">
        <v>60</v>
      </c>
      <c r="ED10" s="174" t="s">
        <v>913</v>
      </c>
      <c r="EE10" s="174">
        <v>3211</v>
      </c>
      <c r="EF10" s="174">
        <v>6543</v>
      </c>
      <c r="EG10" s="174">
        <v>3211</v>
      </c>
      <c r="EH10" s="174">
        <v>5322</v>
      </c>
      <c r="EI10" s="174">
        <v>3211</v>
      </c>
      <c r="EJ10" s="174">
        <v>5322</v>
      </c>
      <c r="EK10" s="174">
        <v>4321</v>
      </c>
      <c r="EL10" s="174">
        <v>6421</v>
      </c>
      <c r="EN10" s="182" t="s">
        <v>1014</v>
      </c>
      <c r="EO10" s="174">
        <v>1</v>
      </c>
      <c r="EP10" s="174">
        <v>1</v>
      </c>
      <c r="EQ10" s="174">
        <v>1</v>
      </c>
      <c r="ER10" s="174">
        <v>1</v>
      </c>
      <c r="ES10" s="174">
        <v>1</v>
      </c>
      <c r="ET10" s="174">
        <v>1</v>
      </c>
      <c r="EU10" s="174">
        <v>1</v>
      </c>
      <c r="EV10" s="174">
        <v>1</v>
      </c>
      <c r="EW10" s="174">
        <v>1</v>
      </c>
      <c r="EX10" s="174">
        <v>1</v>
      </c>
      <c r="EY10" s="174">
        <v>1</v>
      </c>
      <c r="EZ10" s="174">
        <v>1</v>
      </c>
      <c r="FA10" s="174">
        <v>1</v>
      </c>
      <c r="FB10" s="174">
        <v>1</v>
      </c>
      <c r="FC10" s="174">
        <v>1</v>
      </c>
      <c r="FD10" s="174">
        <v>1</v>
      </c>
      <c r="FE10" s="174">
        <v>1</v>
      </c>
      <c r="FF10" s="174">
        <v>1</v>
      </c>
      <c r="FG10" s="174">
        <v>1</v>
      </c>
      <c r="FH10" s="174">
        <v>1</v>
      </c>
      <c r="FI10" s="174">
        <v>1</v>
      </c>
      <c r="FJ10" s="174">
        <v>1</v>
      </c>
      <c r="FK10" s="174">
        <v>1</v>
      </c>
      <c r="FL10" s="174">
        <v>1</v>
      </c>
      <c r="FM10" s="174">
        <v>1</v>
      </c>
      <c r="FN10" s="174">
        <v>1</v>
      </c>
      <c r="FO10" s="174">
        <v>1</v>
      </c>
      <c r="FP10" s="174">
        <v>1</v>
      </c>
      <c r="FQ10" s="174">
        <v>1</v>
      </c>
      <c r="FR10" s="174">
        <v>1</v>
      </c>
      <c r="FS10" s="174">
        <v>1</v>
      </c>
      <c r="FT10" s="174">
        <v>1</v>
      </c>
      <c r="FU10" s="174">
        <v>1</v>
      </c>
      <c r="FV10" s="174">
        <v>1</v>
      </c>
      <c r="FW10" s="174">
        <v>1</v>
      </c>
      <c r="FX10" s="174">
        <v>1</v>
      </c>
      <c r="FY10" s="174">
        <v>1</v>
      </c>
      <c r="FZ10" s="174">
        <v>1</v>
      </c>
      <c r="GA10" s="174">
        <v>1</v>
      </c>
      <c r="GB10" s="174">
        <v>1</v>
      </c>
      <c r="GC10" s="174">
        <v>1</v>
      </c>
      <c r="GD10" s="174">
        <v>1</v>
      </c>
      <c r="GE10" s="174">
        <v>1</v>
      </c>
      <c r="GF10" s="174">
        <v>1</v>
      </c>
      <c r="GG10" s="174">
        <v>1</v>
      </c>
      <c r="GH10" s="174">
        <v>1</v>
      </c>
      <c r="GL10" s="174">
        <v>1</v>
      </c>
      <c r="GM10" s="174">
        <v>1</v>
      </c>
      <c r="GN10" s="174">
        <v>1</v>
      </c>
      <c r="GO10" s="174">
        <v>1</v>
      </c>
      <c r="GP10" s="174">
        <v>1</v>
      </c>
      <c r="GQ10" s="174">
        <v>1</v>
      </c>
      <c r="GR10" s="174">
        <v>1</v>
      </c>
      <c r="HA10" s="174">
        <v>9</v>
      </c>
      <c r="HB10" s="197">
        <v>7</v>
      </c>
      <c r="HC10" s="183">
        <v>14</v>
      </c>
      <c r="HD10" s="183">
        <v>21</v>
      </c>
      <c r="HE10" s="183">
        <v>7</v>
      </c>
      <c r="HF10" s="183">
        <v>35</v>
      </c>
      <c r="HG10" s="193" t="e">
        <f t="shared" si="3"/>
        <v>#N/A</v>
      </c>
      <c r="HH10" s="192" t="e">
        <f t="shared" si="4"/>
        <v>#N/A</v>
      </c>
      <c r="HI10" s="198">
        <v>7</v>
      </c>
      <c r="HJ10" s="185">
        <v>35</v>
      </c>
      <c r="HK10" s="174">
        <v>8</v>
      </c>
      <c r="HL10" s="174">
        <v>72</v>
      </c>
      <c r="HM10" s="174">
        <v>56</v>
      </c>
      <c r="HN10" s="174">
        <v>56</v>
      </c>
      <c r="HO10" s="174">
        <v>56</v>
      </c>
      <c r="HP10" s="174">
        <v>56</v>
      </c>
      <c r="HQ10" s="174">
        <v>56</v>
      </c>
      <c r="HR10" s="174">
        <v>56</v>
      </c>
      <c r="HS10" s="174">
        <v>48</v>
      </c>
      <c r="HT10" s="174">
        <v>48</v>
      </c>
      <c r="HU10" s="174">
        <v>48</v>
      </c>
      <c r="HV10" s="174">
        <v>48</v>
      </c>
      <c r="HW10" s="174">
        <v>48</v>
      </c>
      <c r="HX10" s="174">
        <v>48</v>
      </c>
      <c r="HY10" s="174">
        <v>48</v>
      </c>
      <c r="HZ10" s="174">
        <v>48</v>
      </c>
      <c r="IA10" s="174">
        <v>40</v>
      </c>
      <c r="IB10" s="174">
        <v>40</v>
      </c>
      <c r="IC10" s="174">
        <v>32</v>
      </c>
      <c r="ID10" s="174">
        <v>24</v>
      </c>
      <c r="IE10" s="174">
        <v>16</v>
      </c>
      <c r="IF10" s="174">
        <v>10</v>
      </c>
      <c r="II10" s="174">
        <f>Skills!K322</f>
        <v>-14.50991</v>
      </c>
      <c r="IJ10" s="174" t="str">
        <f>Skills!B322</f>
        <v>2-Handed</v>
      </c>
      <c r="IM10" s="174">
        <v>110000</v>
      </c>
      <c r="IN10" s="174">
        <v>8</v>
      </c>
    </row>
    <row r="11" spans="1:248" ht="13.35" customHeight="1" thickBot="1" x14ac:dyDescent="0.25">
      <c r="A11" s="183">
        <f t="shared" si="1"/>
        <v>10</v>
      </c>
      <c r="B11" s="184">
        <f t="shared" si="0"/>
        <v>-5</v>
      </c>
      <c r="C11" s="183">
        <f t="shared" si="2"/>
        <v>10</v>
      </c>
      <c r="E11" s="189" t="s">
        <v>477</v>
      </c>
      <c r="F11" s="190" t="s">
        <v>1015</v>
      </c>
      <c r="G11" s="190" t="s">
        <v>991</v>
      </c>
      <c r="H11" s="190" t="s">
        <v>995</v>
      </c>
      <c r="I11" s="190" t="s">
        <v>1015</v>
      </c>
      <c r="J11" s="190" t="s">
        <v>1016</v>
      </c>
      <c r="K11" s="190" t="s">
        <v>1002</v>
      </c>
      <c r="L11" s="190" t="s">
        <v>1005</v>
      </c>
      <c r="M11" s="190" t="s">
        <v>1002</v>
      </c>
      <c r="N11" s="190" t="s">
        <v>1002</v>
      </c>
      <c r="O11" s="190" t="s">
        <v>1004</v>
      </c>
      <c r="P11" s="190" t="s">
        <v>1004</v>
      </c>
      <c r="Q11" s="190" t="s">
        <v>1002</v>
      </c>
      <c r="R11" s="190" t="s">
        <v>1009</v>
      </c>
      <c r="S11" s="190" t="s">
        <v>1002</v>
      </c>
      <c r="T11" s="190" t="s">
        <v>1017</v>
      </c>
      <c r="U11" s="190" t="s">
        <v>1018</v>
      </c>
      <c r="V11" s="190" t="s">
        <v>1019</v>
      </c>
      <c r="W11" s="190" t="s">
        <v>1020</v>
      </c>
      <c r="X11" s="190" t="s">
        <v>1020</v>
      </c>
      <c r="Y11" s="190" t="s">
        <v>1016</v>
      </c>
      <c r="Z11" s="190"/>
      <c r="AA11" s="190" t="s">
        <v>1005</v>
      </c>
      <c r="AB11" s="190" t="s">
        <v>1005</v>
      </c>
      <c r="AC11" s="190" t="s">
        <v>1020</v>
      </c>
      <c r="AD11" s="190" t="s">
        <v>1021</v>
      </c>
      <c r="AE11" s="190"/>
      <c r="AF11" s="190" t="s">
        <v>1005</v>
      </c>
      <c r="AG11" s="190" t="s">
        <v>1004</v>
      </c>
      <c r="AH11" s="190" t="s">
        <v>1020</v>
      </c>
      <c r="AI11" s="190"/>
      <c r="AJ11" s="190" t="s">
        <v>1018</v>
      </c>
      <c r="AK11" s="190" t="s">
        <v>1006</v>
      </c>
      <c r="AL11" s="190" t="s">
        <v>1001</v>
      </c>
      <c r="AM11" s="190" t="s">
        <v>1009</v>
      </c>
      <c r="AN11" s="190"/>
      <c r="AO11" s="190" t="s">
        <v>1002</v>
      </c>
      <c r="AP11" s="190" t="s">
        <v>1005</v>
      </c>
      <c r="AQ11" s="190" t="s">
        <v>1016</v>
      </c>
      <c r="AR11" s="190"/>
      <c r="AS11" s="190" t="s">
        <v>1002</v>
      </c>
      <c r="AT11" s="190" t="s">
        <v>1002</v>
      </c>
      <c r="AU11" s="190" t="s">
        <v>1002</v>
      </c>
      <c r="AV11" s="190" t="s">
        <v>1002</v>
      </c>
      <c r="AW11" s="190" t="s">
        <v>1002</v>
      </c>
      <c r="AX11" s="190" t="s">
        <v>1002</v>
      </c>
      <c r="AY11" s="190" t="s">
        <v>1002</v>
      </c>
      <c r="AZ11" s="190" t="s">
        <v>1002</v>
      </c>
      <c r="BA11" s="190" t="s">
        <v>1002</v>
      </c>
      <c r="BB11" s="190" t="s">
        <v>1002</v>
      </c>
      <c r="BC11" s="190" t="s">
        <v>1002</v>
      </c>
      <c r="BD11" s="190" t="s">
        <v>1002</v>
      </c>
      <c r="BE11" s="190" t="s">
        <v>1002</v>
      </c>
      <c r="BF11" s="190" t="s">
        <v>1002</v>
      </c>
      <c r="BG11" s="190" t="s">
        <v>1002</v>
      </c>
      <c r="BH11" s="190" t="s">
        <v>1002</v>
      </c>
      <c r="BI11" s="190" t="s">
        <v>1002</v>
      </c>
      <c r="BJ11" s="190" t="s">
        <v>1002</v>
      </c>
      <c r="BK11" s="190" t="s">
        <v>1002</v>
      </c>
      <c r="BL11" s="190" t="s">
        <v>1002</v>
      </c>
      <c r="BM11" s="190" t="s">
        <v>1002</v>
      </c>
      <c r="BN11" s="190" t="s">
        <v>1002</v>
      </c>
      <c r="BO11" s="190" t="s">
        <v>1002</v>
      </c>
      <c r="BP11" s="190" t="s">
        <v>1002</v>
      </c>
      <c r="BQ11" s="190" t="s">
        <v>1002</v>
      </c>
      <c r="BR11" s="190" t="s">
        <v>1002</v>
      </c>
      <c r="BS11" s="190" t="s">
        <v>1002</v>
      </c>
      <c r="BT11" s="190" t="s">
        <v>1002</v>
      </c>
      <c r="BU11" s="190" t="s">
        <v>1002</v>
      </c>
      <c r="BV11" s="190" t="s">
        <v>1002</v>
      </c>
      <c r="BW11" s="190" t="s">
        <v>1002</v>
      </c>
      <c r="BX11" s="190" t="s">
        <v>1002</v>
      </c>
      <c r="BY11" s="190" t="s">
        <v>1002</v>
      </c>
      <c r="BZ11" s="190" t="s">
        <v>1002</v>
      </c>
      <c r="CA11" s="190" t="s">
        <v>1002</v>
      </c>
      <c r="CB11" s="190" t="s">
        <v>1002</v>
      </c>
      <c r="CC11" s="190" t="s">
        <v>1002</v>
      </c>
      <c r="CD11" s="190" t="s">
        <v>1002</v>
      </c>
      <c r="CE11" s="190" t="s">
        <v>1002</v>
      </c>
      <c r="CF11" s="190" t="s">
        <v>1002</v>
      </c>
      <c r="CG11" s="190" t="s">
        <v>1002</v>
      </c>
      <c r="CH11" s="190" t="s">
        <v>1002</v>
      </c>
      <c r="CI11" s="190" t="s">
        <v>1002</v>
      </c>
      <c r="CJ11" s="190" t="s">
        <v>1002</v>
      </c>
      <c r="CK11" s="190" t="s">
        <v>1002</v>
      </c>
      <c r="CL11" s="190" t="s">
        <v>1002</v>
      </c>
      <c r="CM11" s="190" t="s">
        <v>1002</v>
      </c>
      <c r="CN11" s="190" t="s">
        <v>1002</v>
      </c>
      <c r="CO11" s="190" t="s">
        <v>1002</v>
      </c>
      <c r="CP11" s="190" t="s">
        <v>1002</v>
      </c>
      <c r="CQ11" s="190" t="s">
        <v>1002</v>
      </c>
      <c r="CR11" s="190"/>
      <c r="CS11" s="190" t="s">
        <v>995</v>
      </c>
      <c r="CT11" s="190" t="s">
        <v>993</v>
      </c>
      <c r="CU11" s="190" t="s">
        <v>1010</v>
      </c>
      <c r="CV11" s="190" t="s">
        <v>1010</v>
      </c>
      <c r="CW11" s="190"/>
      <c r="CX11" s="190" t="s">
        <v>1019</v>
      </c>
      <c r="CY11" s="190" t="s">
        <v>1002</v>
      </c>
      <c r="CZ11" s="190" t="s">
        <v>1002</v>
      </c>
      <c r="DA11" s="190" t="s">
        <v>995</v>
      </c>
      <c r="DB11" s="190" t="s">
        <v>1002</v>
      </c>
      <c r="DC11" s="190" t="s">
        <v>1002</v>
      </c>
      <c r="DD11" s="190" t="s">
        <v>1004</v>
      </c>
      <c r="DE11" s="190"/>
      <c r="DF11" s="174">
        <v>10</v>
      </c>
      <c r="DH11" s="182" t="s">
        <v>936</v>
      </c>
      <c r="DI11" s="182" t="s">
        <v>894</v>
      </c>
      <c r="DJ11" s="182">
        <v>4</v>
      </c>
      <c r="DK11" s="182"/>
      <c r="DL11" s="182"/>
      <c r="DM11" s="182"/>
      <c r="DN11" s="182"/>
      <c r="DO11" s="182">
        <v>4</v>
      </c>
      <c r="DP11" s="182"/>
      <c r="DQ11" s="182">
        <v>2</v>
      </c>
      <c r="DR11" s="182"/>
      <c r="DS11" s="182"/>
      <c r="DT11" s="182"/>
      <c r="DU11" s="182"/>
      <c r="DV11" s="182"/>
      <c r="DW11" s="182">
        <v>5</v>
      </c>
      <c r="DX11" s="182">
        <v>15</v>
      </c>
      <c r="DY11" s="182">
        <v>10</v>
      </c>
      <c r="DZ11" s="182">
        <v>4</v>
      </c>
      <c r="EA11" s="182">
        <v>0.75</v>
      </c>
      <c r="EB11" s="182">
        <f>DZ11*10</f>
        <v>40</v>
      </c>
      <c r="ED11" s="174" t="s">
        <v>894</v>
      </c>
      <c r="EE11" s="174">
        <v>6543</v>
      </c>
      <c r="EF11" s="174">
        <v>6543</v>
      </c>
      <c r="EG11" s="174">
        <v>7654</v>
      </c>
      <c r="EH11" s="174">
        <v>6453</v>
      </c>
      <c r="EI11" s="174">
        <v>6543</v>
      </c>
      <c r="EJ11" s="174">
        <v>6543</v>
      </c>
      <c r="EK11" s="174">
        <v>6543</v>
      </c>
      <c r="EL11" s="174">
        <v>7531</v>
      </c>
      <c r="EN11" s="174" t="s">
        <v>452</v>
      </c>
      <c r="EO11" s="174">
        <v>1</v>
      </c>
      <c r="EP11" s="174">
        <v>1</v>
      </c>
      <c r="EQ11" s="174">
        <v>1</v>
      </c>
      <c r="ER11" s="174">
        <v>1</v>
      </c>
      <c r="ES11" s="174">
        <v>1</v>
      </c>
      <c r="ET11" s="174">
        <v>1</v>
      </c>
      <c r="EU11" s="174">
        <v>1</v>
      </c>
      <c r="EV11" s="174">
        <v>1</v>
      </c>
      <c r="EW11" s="174">
        <v>5</v>
      </c>
      <c r="EX11" s="174">
        <v>5</v>
      </c>
      <c r="EY11" s="174">
        <v>1</v>
      </c>
      <c r="EZ11" s="174">
        <v>1</v>
      </c>
      <c r="FA11" s="174">
        <v>1</v>
      </c>
      <c r="FC11" s="174">
        <v>2</v>
      </c>
      <c r="FD11" s="174">
        <v>3</v>
      </c>
      <c r="FE11" s="174">
        <v>2</v>
      </c>
      <c r="FF11" s="174">
        <v>1</v>
      </c>
      <c r="FH11" s="174">
        <v>1</v>
      </c>
      <c r="FI11" s="174">
        <v>1</v>
      </c>
      <c r="FJ11" s="174">
        <v>1</v>
      </c>
      <c r="FL11" s="174">
        <v>5</v>
      </c>
      <c r="FM11" s="174">
        <v>3</v>
      </c>
      <c r="FN11" s="174">
        <v>5</v>
      </c>
      <c r="FO11" s="174">
        <v>1</v>
      </c>
      <c r="FP11" s="174">
        <v>1</v>
      </c>
      <c r="FR11" s="174">
        <v>1</v>
      </c>
      <c r="FT11" s="174">
        <v>1</v>
      </c>
      <c r="FU11" s="174">
        <v>0</v>
      </c>
      <c r="FV11" s="174">
        <v>2</v>
      </c>
      <c r="FW11" s="174">
        <v>2</v>
      </c>
      <c r="FX11" s="174">
        <v>2</v>
      </c>
      <c r="FY11" s="174">
        <v>3</v>
      </c>
      <c r="GL11" s="174">
        <v>1</v>
      </c>
      <c r="GQ11" s="174">
        <v>2</v>
      </c>
      <c r="GR11" s="174">
        <v>2</v>
      </c>
      <c r="HA11" s="174">
        <v>10</v>
      </c>
      <c r="HB11" s="197">
        <v>8</v>
      </c>
      <c r="HC11" s="183">
        <v>16</v>
      </c>
      <c r="HD11" s="183">
        <v>24</v>
      </c>
      <c r="HE11" s="183">
        <v>8</v>
      </c>
      <c r="HF11" s="183">
        <v>40</v>
      </c>
      <c r="HG11" s="193" t="e">
        <f t="shared" si="3"/>
        <v>#N/A</v>
      </c>
      <c r="HH11" s="192" t="e">
        <f t="shared" si="4"/>
        <v>#N/A</v>
      </c>
      <c r="HI11" s="198">
        <v>8</v>
      </c>
      <c r="HJ11" s="185">
        <v>40</v>
      </c>
      <c r="HK11" s="174">
        <v>9</v>
      </c>
      <c r="HL11" s="174">
        <v>81</v>
      </c>
      <c r="HM11" s="174">
        <v>63</v>
      </c>
      <c r="HN11" s="174">
        <v>63</v>
      </c>
      <c r="HO11" s="174">
        <v>63</v>
      </c>
      <c r="HP11" s="174">
        <v>63</v>
      </c>
      <c r="HQ11" s="174">
        <v>63</v>
      </c>
      <c r="HR11" s="174">
        <v>63</v>
      </c>
      <c r="HS11" s="174">
        <v>54</v>
      </c>
      <c r="HT11" s="174">
        <v>54</v>
      </c>
      <c r="HU11" s="174">
        <v>54</v>
      </c>
      <c r="HV11" s="174">
        <v>54</v>
      </c>
      <c r="HW11" s="174">
        <v>54</v>
      </c>
      <c r="HX11" s="174">
        <v>54</v>
      </c>
      <c r="HY11" s="174">
        <v>54</v>
      </c>
      <c r="HZ11" s="174">
        <v>54</v>
      </c>
      <c r="IA11" s="174">
        <v>45</v>
      </c>
      <c r="IB11" s="174">
        <v>45</v>
      </c>
      <c r="IC11" s="174">
        <v>36</v>
      </c>
      <c r="ID11" s="174">
        <v>27</v>
      </c>
      <c r="IE11" s="174">
        <v>18</v>
      </c>
      <c r="IF11" s="174">
        <v>11</v>
      </c>
      <c r="II11" s="174">
        <f>Skills!K324</f>
        <v>3.4901000000000004</v>
      </c>
      <c r="IJ11" s="174" t="str">
        <f>Skills!B324</f>
        <v>Missile</v>
      </c>
      <c r="IM11" s="174">
        <v>130000</v>
      </c>
      <c r="IN11" s="174">
        <v>9</v>
      </c>
    </row>
    <row r="12" spans="1:248" ht="13.35" customHeight="1" thickBot="1" x14ac:dyDescent="0.25">
      <c r="A12" s="183">
        <f t="shared" si="1"/>
        <v>11</v>
      </c>
      <c r="B12" s="184">
        <f>ROUNDDOWN((A12-33)/5,0)</f>
        <v>-4</v>
      </c>
      <c r="C12" s="183">
        <f t="shared" si="2"/>
        <v>11</v>
      </c>
      <c r="E12" s="189" t="s">
        <v>482</v>
      </c>
      <c r="F12" s="190" t="s">
        <v>991</v>
      </c>
      <c r="G12" s="190" t="s">
        <v>999</v>
      </c>
      <c r="H12" s="190" t="s">
        <v>993</v>
      </c>
      <c r="I12" s="190" t="s">
        <v>991</v>
      </c>
      <c r="J12" s="190" t="s">
        <v>995</v>
      </c>
      <c r="K12" s="190" t="s">
        <v>1009</v>
      </c>
      <c r="L12" s="190" t="s">
        <v>1009</v>
      </c>
      <c r="M12" s="190" t="s">
        <v>995</v>
      </c>
      <c r="N12" s="190" t="s">
        <v>1022</v>
      </c>
      <c r="O12" s="190" t="s">
        <v>1009</v>
      </c>
      <c r="P12" s="190" t="s">
        <v>1009</v>
      </c>
      <c r="Q12" s="190" t="s">
        <v>1009</v>
      </c>
      <c r="R12" s="190" t="s">
        <v>992</v>
      </c>
      <c r="S12" s="190" t="s">
        <v>1009</v>
      </c>
      <c r="T12" s="190" t="s">
        <v>994</v>
      </c>
      <c r="U12" s="190" t="s">
        <v>995</v>
      </c>
      <c r="V12" s="190" t="s">
        <v>995</v>
      </c>
      <c r="W12" s="190" t="s">
        <v>995</v>
      </c>
      <c r="X12" s="190" t="s">
        <v>995</v>
      </c>
      <c r="Y12" s="190" t="s">
        <v>993</v>
      </c>
      <c r="Z12" s="190"/>
      <c r="AA12" s="190" t="s">
        <v>1023</v>
      </c>
      <c r="AB12" s="190" t="s">
        <v>1023</v>
      </c>
      <c r="AC12" s="190" t="s">
        <v>995</v>
      </c>
      <c r="AD12" s="190" t="s">
        <v>995</v>
      </c>
      <c r="AE12" s="190"/>
      <c r="AF12" s="190" t="s">
        <v>1006</v>
      </c>
      <c r="AG12" s="190" t="s">
        <v>1006</v>
      </c>
      <c r="AH12" s="190" t="s">
        <v>995</v>
      </c>
      <c r="AI12" s="190"/>
      <c r="AJ12" s="190" t="s">
        <v>995</v>
      </c>
      <c r="AK12" s="190" t="s">
        <v>1010</v>
      </c>
      <c r="AL12" s="190" t="s">
        <v>994</v>
      </c>
      <c r="AM12" s="190" t="s">
        <v>995</v>
      </c>
      <c r="AN12" s="190"/>
      <c r="AO12" s="190" t="s">
        <v>1009</v>
      </c>
      <c r="AP12" s="190" t="s">
        <v>1009</v>
      </c>
      <c r="AQ12" s="190" t="s">
        <v>994</v>
      </c>
      <c r="AR12" s="190"/>
      <c r="AS12" s="190" t="s">
        <v>1010</v>
      </c>
      <c r="AT12" s="190" t="s">
        <v>1010</v>
      </c>
      <c r="AU12" s="190" t="s">
        <v>1010</v>
      </c>
      <c r="AV12" s="190" t="s">
        <v>1010</v>
      </c>
      <c r="AW12" s="190" t="s">
        <v>1010</v>
      </c>
      <c r="AX12" s="190" t="s">
        <v>1010</v>
      </c>
      <c r="AY12" s="190" t="s">
        <v>1010</v>
      </c>
      <c r="AZ12" s="190" t="s">
        <v>1010</v>
      </c>
      <c r="BA12" s="190" t="s">
        <v>1010</v>
      </c>
      <c r="BB12" s="190" t="s">
        <v>1010</v>
      </c>
      <c r="BC12" s="190" t="s">
        <v>1010</v>
      </c>
      <c r="BD12" s="190" t="s">
        <v>1010</v>
      </c>
      <c r="BE12" s="190" t="s">
        <v>1010</v>
      </c>
      <c r="BF12" s="190" t="s">
        <v>1010</v>
      </c>
      <c r="BG12" s="190" t="s">
        <v>1010</v>
      </c>
      <c r="BH12" s="190" t="s">
        <v>1010</v>
      </c>
      <c r="BI12" s="190" t="s">
        <v>1010</v>
      </c>
      <c r="BJ12" s="190" t="s">
        <v>1010</v>
      </c>
      <c r="BK12" s="190" t="s">
        <v>1010</v>
      </c>
      <c r="BL12" s="190" t="s">
        <v>1010</v>
      </c>
      <c r="BM12" s="190" t="s">
        <v>1010</v>
      </c>
      <c r="BN12" s="190" t="s">
        <v>1010</v>
      </c>
      <c r="BO12" s="190" t="s">
        <v>1010</v>
      </c>
      <c r="BP12" s="190" t="s">
        <v>1010</v>
      </c>
      <c r="BQ12" s="190" t="s">
        <v>1010</v>
      </c>
      <c r="BR12" s="190" t="s">
        <v>1010</v>
      </c>
      <c r="BS12" s="190" t="s">
        <v>1010</v>
      </c>
      <c r="BT12" s="190" t="s">
        <v>1010</v>
      </c>
      <c r="BU12" s="190" t="s">
        <v>1010</v>
      </c>
      <c r="BV12" s="190" t="s">
        <v>1010</v>
      </c>
      <c r="BW12" s="190" t="s">
        <v>1010</v>
      </c>
      <c r="BX12" s="190" t="s">
        <v>1010</v>
      </c>
      <c r="BY12" s="190" t="s">
        <v>1010</v>
      </c>
      <c r="BZ12" s="190" t="s">
        <v>1010</v>
      </c>
      <c r="CA12" s="190" t="s">
        <v>1010</v>
      </c>
      <c r="CB12" s="190" t="s">
        <v>1010</v>
      </c>
      <c r="CC12" s="190" t="s">
        <v>1010</v>
      </c>
      <c r="CD12" s="190" t="s">
        <v>1010</v>
      </c>
      <c r="CE12" s="190" t="s">
        <v>1010</v>
      </c>
      <c r="CF12" s="190" t="s">
        <v>1010</v>
      </c>
      <c r="CG12" s="190" t="s">
        <v>1010</v>
      </c>
      <c r="CH12" s="190" t="s">
        <v>1010</v>
      </c>
      <c r="CI12" s="190" t="s">
        <v>1010</v>
      </c>
      <c r="CJ12" s="190" t="s">
        <v>1010</v>
      </c>
      <c r="CK12" s="190" t="s">
        <v>1010</v>
      </c>
      <c r="CL12" s="190" t="s">
        <v>1010</v>
      </c>
      <c r="CM12" s="190" t="s">
        <v>1010</v>
      </c>
      <c r="CN12" s="190" t="s">
        <v>1010</v>
      </c>
      <c r="CO12" s="190" t="s">
        <v>1010</v>
      </c>
      <c r="CP12" s="190" t="s">
        <v>1010</v>
      </c>
      <c r="CQ12" s="190" t="s">
        <v>1010</v>
      </c>
      <c r="CR12" s="190"/>
      <c r="CS12" s="190" t="s">
        <v>995</v>
      </c>
      <c r="CT12" s="190" t="s">
        <v>993</v>
      </c>
      <c r="CU12" s="190" t="s">
        <v>991</v>
      </c>
      <c r="CV12" s="190" t="s">
        <v>1010</v>
      </c>
      <c r="CW12" s="190"/>
      <c r="CX12" s="190" t="s">
        <v>991</v>
      </c>
      <c r="CY12" s="190" t="s">
        <v>995</v>
      </c>
      <c r="CZ12" s="190" t="s">
        <v>993</v>
      </c>
      <c r="DA12" s="190" t="s">
        <v>995</v>
      </c>
      <c r="DB12" s="190" t="s">
        <v>1009</v>
      </c>
      <c r="DC12" s="190" t="s">
        <v>995</v>
      </c>
      <c r="DD12" s="190" t="s">
        <v>1009</v>
      </c>
      <c r="DE12" s="190"/>
      <c r="DF12" s="174">
        <v>11</v>
      </c>
      <c r="DH12" s="174" t="s">
        <v>1024</v>
      </c>
      <c r="DI12" s="174" t="s">
        <v>1025</v>
      </c>
      <c r="DL12" s="174">
        <v>2</v>
      </c>
      <c r="DO12" s="174">
        <v>2</v>
      </c>
      <c r="DY12" s="174">
        <v>12</v>
      </c>
      <c r="DZ12" s="174">
        <v>6</v>
      </c>
      <c r="EA12" s="174">
        <v>1</v>
      </c>
      <c r="EB12" s="174">
        <f>DZ12*10</f>
        <v>60</v>
      </c>
      <c r="ED12" s="174" t="s">
        <v>1025</v>
      </c>
      <c r="EE12" s="174">
        <v>6543</v>
      </c>
      <c r="EF12" s="174">
        <v>6543</v>
      </c>
      <c r="EG12" s="174">
        <v>7654</v>
      </c>
      <c r="EH12" s="174">
        <v>6543</v>
      </c>
      <c r="EI12" s="174">
        <v>6543</v>
      </c>
      <c r="EJ12" s="174">
        <v>6543</v>
      </c>
      <c r="EK12" s="174">
        <v>6543</v>
      </c>
      <c r="EL12" s="174">
        <v>6521</v>
      </c>
      <c r="EN12" s="182" t="s">
        <v>1026</v>
      </c>
      <c r="EO12" s="174">
        <v>1</v>
      </c>
      <c r="EP12" s="174">
        <v>1</v>
      </c>
      <c r="EQ12" s="174">
        <v>1</v>
      </c>
      <c r="ER12" s="174">
        <v>1</v>
      </c>
      <c r="ES12" s="174">
        <v>1</v>
      </c>
      <c r="ET12" s="174">
        <v>1</v>
      </c>
      <c r="EU12" s="174">
        <v>1</v>
      </c>
      <c r="EV12" s="174">
        <v>1</v>
      </c>
      <c r="EW12" s="174">
        <v>1</v>
      </c>
      <c r="EX12" s="174">
        <v>1</v>
      </c>
      <c r="EY12" s="174">
        <v>1</v>
      </c>
      <c r="EZ12" s="174">
        <v>1</v>
      </c>
      <c r="FA12" s="174">
        <v>1</v>
      </c>
      <c r="FB12" s="174">
        <v>1</v>
      </c>
      <c r="FC12" s="174">
        <v>1</v>
      </c>
      <c r="FD12" s="174">
        <v>1</v>
      </c>
      <c r="FE12" s="174">
        <v>1</v>
      </c>
      <c r="FF12" s="174">
        <v>1</v>
      </c>
      <c r="FG12" s="174">
        <v>1</v>
      </c>
      <c r="FH12" s="174">
        <v>1</v>
      </c>
      <c r="FI12" s="174">
        <v>1</v>
      </c>
      <c r="FJ12" s="174">
        <v>1</v>
      </c>
      <c r="FK12" s="174">
        <v>1</v>
      </c>
      <c r="FL12" s="174">
        <v>1</v>
      </c>
      <c r="FM12" s="174">
        <v>1</v>
      </c>
      <c r="FN12" s="174">
        <v>1</v>
      </c>
      <c r="FO12" s="174">
        <v>1</v>
      </c>
      <c r="FP12" s="174">
        <v>1</v>
      </c>
      <c r="FQ12" s="174">
        <v>1</v>
      </c>
      <c r="FR12" s="174">
        <v>1</v>
      </c>
      <c r="FS12" s="174">
        <v>1</v>
      </c>
      <c r="FT12" s="174">
        <v>1</v>
      </c>
      <c r="FU12" s="174">
        <v>1</v>
      </c>
      <c r="FV12" s="174">
        <v>1</v>
      </c>
      <c r="FW12" s="174">
        <v>1</v>
      </c>
      <c r="FX12" s="174">
        <v>1</v>
      </c>
      <c r="FY12" s="174">
        <v>1</v>
      </c>
      <c r="FZ12" s="174">
        <v>1</v>
      </c>
      <c r="GA12" s="174">
        <v>1</v>
      </c>
      <c r="GB12" s="174">
        <v>1</v>
      </c>
      <c r="GC12" s="174">
        <v>1</v>
      </c>
      <c r="GD12" s="174">
        <v>1</v>
      </c>
      <c r="GE12" s="174">
        <v>1</v>
      </c>
      <c r="GF12" s="174">
        <v>1</v>
      </c>
      <c r="GG12" s="174">
        <v>1</v>
      </c>
      <c r="GH12" s="174">
        <v>1</v>
      </c>
      <c r="GL12" s="174">
        <v>1</v>
      </c>
      <c r="GM12" s="174">
        <v>1</v>
      </c>
      <c r="GN12" s="174">
        <v>1</v>
      </c>
      <c r="GO12" s="174">
        <v>1</v>
      </c>
      <c r="GP12" s="174">
        <v>1</v>
      </c>
      <c r="GQ12" s="174">
        <v>1</v>
      </c>
      <c r="GR12" s="174">
        <v>1</v>
      </c>
      <c r="HA12" s="174">
        <v>11</v>
      </c>
      <c r="HB12" s="197">
        <v>9</v>
      </c>
      <c r="HC12" s="183">
        <v>18</v>
      </c>
      <c r="HD12" s="183">
        <v>27</v>
      </c>
      <c r="HE12" s="183">
        <v>9</v>
      </c>
      <c r="HF12" s="183">
        <v>45</v>
      </c>
      <c r="HG12" s="193" t="e">
        <f t="shared" si="3"/>
        <v>#N/A</v>
      </c>
      <c r="HH12" s="192" t="e">
        <f t="shared" si="4"/>
        <v>#N/A</v>
      </c>
      <c r="HI12" s="198">
        <v>9</v>
      </c>
      <c r="HJ12" s="185">
        <v>45</v>
      </c>
      <c r="HK12" s="182">
        <v>10</v>
      </c>
      <c r="HL12" s="182">
        <v>90</v>
      </c>
      <c r="HM12" s="182">
        <v>70</v>
      </c>
      <c r="HN12" s="182">
        <v>70</v>
      </c>
      <c r="HO12" s="182">
        <v>70</v>
      </c>
      <c r="HP12" s="182">
        <v>70</v>
      </c>
      <c r="HQ12" s="182">
        <v>70</v>
      </c>
      <c r="HR12" s="182">
        <v>70</v>
      </c>
      <c r="HS12" s="182">
        <v>60</v>
      </c>
      <c r="HT12" s="182">
        <v>60</v>
      </c>
      <c r="HU12" s="182">
        <v>60</v>
      </c>
      <c r="HV12" s="182">
        <v>60</v>
      </c>
      <c r="HW12" s="182">
        <v>60</v>
      </c>
      <c r="HX12" s="182">
        <v>60</v>
      </c>
      <c r="HY12" s="182">
        <v>60</v>
      </c>
      <c r="HZ12" s="182">
        <v>60</v>
      </c>
      <c r="IA12" s="182">
        <v>50</v>
      </c>
      <c r="IB12" s="182">
        <v>50</v>
      </c>
      <c r="IC12" s="182">
        <v>40</v>
      </c>
      <c r="ID12" s="182">
        <v>30</v>
      </c>
      <c r="IE12" s="182">
        <v>20</v>
      </c>
      <c r="IF12" s="182">
        <v>12</v>
      </c>
      <c r="II12" s="174">
        <f>Skills!K325</f>
        <v>3.49011</v>
      </c>
      <c r="IJ12" s="174" t="str">
        <f>Skills!B325</f>
        <v>Missile</v>
      </c>
      <c r="IM12" s="174">
        <v>150000</v>
      </c>
      <c r="IN12" s="174">
        <v>10</v>
      </c>
    </row>
    <row r="13" spans="1:248" ht="13.35" customHeight="1" thickBot="1" x14ac:dyDescent="0.25">
      <c r="A13" s="183">
        <f t="shared" si="1"/>
        <v>12</v>
      </c>
      <c r="B13" s="184">
        <f t="shared" ref="B13:B31" si="5">ROUND((A13-33)/5,0)</f>
        <v>-4</v>
      </c>
      <c r="C13" s="183">
        <f t="shared" si="2"/>
        <v>12</v>
      </c>
      <c r="E13" s="189" t="s">
        <v>492</v>
      </c>
      <c r="F13" s="190" t="s">
        <v>995</v>
      </c>
      <c r="G13" s="190" t="s">
        <v>991</v>
      </c>
      <c r="H13" s="190" t="s">
        <v>995</v>
      </c>
      <c r="I13" s="190" t="s">
        <v>991</v>
      </c>
      <c r="J13" s="190" t="s">
        <v>995</v>
      </c>
      <c r="K13" s="190" t="s">
        <v>1006</v>
      </c>
      <c r="L13" s="190" t="s">
        <v>995</v>
      </c>
      <c r="M13" s="190" t="s">
        <v>1006</v>
      </c>
      <c r="N13" s="190" t="s">
        <v>1027</v>
      </c>
      <c r="O13" s="190" t="s">
        <v>1006</v>
      </c>
      <c r="P13" s="190" t="s">
        <v>1006</v>
      </c>
      <c r="Q13" s="190" t="s">
        <v>1006</v>
      </c>
      <c r="R13" s="190" t="s">
        <v>995</v>
      </c>
      <c r="S13" s="190" t="s">
        <v>1006</v>
      </c>
      <c r="T13" s="190" t="s">
        <v>991</v>
      </c>
      <c r="U13" s="190" t="s">
        <v>1006</v>
      </c>
      <c r="V13" s="190" t="s">
        <v>1006</v>
      </c>
      <c r="W13" s="190" t="s">
        <v>1006</v>
      </c>
      <c r="X13" s="190" t="s">
        <v>1006</v>
      </c>
      <c r="Y13" s="190" t="s">
        <v>995</v>
      </c>
      <c r="Z13" s="190"/>
      <c r="AA13" s="190" t="s">
        <v>994</v>
      </c>
      <c r="AB13" s="190" t="s">
        <v>994</v>
      </c>
      <c r="AC13" s="190" t="s">
        <v>995</v>
      </c>
      <c r="AD13" s="190" t="s">
        <v>993</v>
      </c>
      <c r="AE13" s="190"/>
      <c r="AF13" s="190" t="s">
        <v>1006</v>
      </c>
      <c r="AG13" s="190" t="s">
        <v>1006</v>
      </c>
      <c r="AH13" s="190" t="s">
        <v>1006</v>
      </c>
      <c r="AI13" s="190"/>
      <c r="AJ13" s="190" t="s">
        <v>1001</v>
      </c>
      <c r="AK13" s="190" t="s">
        <v>1010</v>
      </c>
      <c r="AL13" s="190" t="s">
        <v>992</v>
      </c>
      <c r="AM13" s="190" t="s">
        <v>991</v>
      </c>
      <c r="AN13" s="190"/>
      <c r="AO13" s="190" t="s">
        <v>1006</v>
      </c>
      <c r="AP13" s="190" t="s">
        <v>1006</v>
      </c>
      <c r="AQ13" s="190" t="s">
        <v>991</v>
      </c>
      <c r="AR13" s="190"/>
      <c r="AS13" s="190" t="s">
        <v>1006</v>
      </c>
      <c r="AT13" s="190" t="s">
        <v>1006</v>
      </c>
      <c r="AU13" s="190" t="s">
        <v>1006</v>
      </c>
      <c r="AV13" s="190" t="s">
        <v>1006</v>
      </c>
      <c r="AW13" s="190" t="s">
        <v>1006</v>
      </c>
      <c r="AX13" s="190" t="s">
        <v>1006</v>
      </c>
      <c r="AY13" s="190" t="s">
        <v>1006</v>
      </c>
      <c r="AZ13" s="190" t="s">
        <v>1006</v>
      </c>
      <c r="BA13" s="190" t="s">
        <v>1006</v>
      </c>
      <c r="BB13" s="190" t="s">
        <v>1006</v>
      </c>
      <c r="BC13" s="190" t="s">
        <v>1006</v>
      </c>
      <c r="BD13" s="190" t="s">
        <v>1006</v>
      </c>
      <c r="BE13" s="190" t="s">
        <v>1006</v>
      </c>
      <c r="BF13" s="190" t="s">
        <v>1006</v>
      </c>
      <c r="BG13" s="190" t="s">
        <v>1006</v>
      </c>
      <c r="BH13" s="190" t="s">
        <v>1006</v>
      </c>
      <c r="BI13" s="190" t="s">
        <v>1006</v>
      </c>
      <c r="BJ13" s="190" t="s">
        <v>1006</v>
      </c>
      <c r="BK13" s="190" t="s">
        <v>1006</v>
      </c>
      <c r="BL13" s="190" t="s">
        <v>1006</v>
      </c>
      <c r="BM13" s="190" t="s">
        <v>1006</v>
      </c>
      <c r="BN13" s="190" t="s">
        <v>1006</v>
      </c>
      <c r="BO13" s="190" t="s">
        <v>1006</v>
      </c>
      <c r="BP13" s="190" t="s">
        <v>1006</v>
      </c>
      <c r="BQ13" s="190" t="s">
        <v>1006</v>
      </c>
      <c r="BR13" s="190" t="s">
        <v>1006</v>
      </c>
      <c r="BS13" s="190" t="s">
        <v>1006</v>
      </c>
      <c r="BT13" s="190" t="s">
        <v>1006</v>
      </c>
      <c r="BU13" s="190" t="s">
        <v>1006</v>
      </c>
      <c r="BV13" s="190" t="s">
        <v>1006</v>
      </c>
      <c r="BW13" s="190" t="s">
        <v>1006</v>
      </c>
      <c r="BX13" s="190" t="s">
        <v>1006</v>
      </c>
      <c r="BY13" s="190" t="s">
        <v>1006</v>
      </c>
      <c r="BZ13" s="190" t="s">
        <v>1006</v>
      </c>
      <c r="CA13" s="190" t="s">
        <v>1006</v>
      </c>
      <c r="CB13" s="190" t="s">
        <v>1006</v>
      </c>
      <c r="CC13" s="190" t="s">
        <v>1006</v>
      </c>
      <c r="CD13" s="190" t="s">
        <v>1006</v>
      </c>
      <c r="CE13" s="190" t="s">
        <v>1006</v>
      </c>
      <c r="CF13" s="190" t="s">
        <v>1006</v>
      </c>
      <c r="CG13" s="190" t="s">
        <v>1006</v>
      </c>
      <c r="CH13" s="190" t="s">
        <v>1006</v>
      </c>
      <c r="CI13" s="190" t="s">
        <v>1006</v>
      </c>
      <c r="CJ13" s="190" t="s">
        <v>1006</v>
      </c>
      <c r="CK13" s="190" t="s">
        <v>1006</v>
      </c>
      <c r="CL13" s="190" t="s">
        <v>1006</v>
      </c>
      <c r="CM13" s="190" t="s">
        <v>1006</v>
      </c>
      <c r="CN13" s="190" t="s">
        <v>1006</v>
      </c>
      <c r="CO13" s="190" t="s">
        <v>1006</v>
      </c>
      <c r="CP13" s="190" t="s">
        <v>1006</v>
      </c>
      <c r="CQ13" s="190" t="s">
        <v>1006</v>
      </c>
      <c r="CR13" s="190"/>
      <c r="CS13" s="190" t="s">
        <v>993</v>
      </c>
      <c r="CT13" s="190" t="s">
        <v>993</v>
      </c>
      <c r="CU13" s="190" t="s">
        <v>991</v>
      </c>
      <c r="CV13" s="190" t="s">
        <v>991</v>
      </c>
      <c r="CW13" s="190"/>
      <c r="CX13" s="190" t="s">
        <v>1001</v>
      </c>
      <c r="CY13" s="190" t="s">
        <v>1006</v>
      </c>
      <c r="CZ13" s="190" t="s">
        <v>1006</v>
      </c>
      <c r="DA13" s="190" t="s">
        <v>993</v>
      </c>
      <c r="DB13" s="190" t="s">
        <v>1006</v>
      </c>
      <c r="DC13" s="190" t="s">
        <v>1006</v>
      </c>
      <c r="DD13" s="190" t="s">
        <v>1006</v>
      </c>
      <c r="DE13" s="190"/>
      <c r="DF13" s="174">
        <v>12</v>
      </c>
      <c r="DH13" s="182" t="s">
        <v>900</v>
      </c>
      <c r="DI13" s="182" t="s">
        <v>950</v>
      </c>
      <c r="DJ13" s="182">
        <v>2</v>
      </c>
      <c r="DK13" s="182"/>
      <c r="DL13" s="182">
        <v>2</v>
      </c>
      <c r="DM13" s="182"/>
      <c r="DN13" s="182"/>
      <c r="DO13" s="182">
        <v>2</v>
      </c>
      <c r="DP13" s="182"/>
      <c r="DQ13" s="182">
        <v>2</v>
      </c>
      <c r="DR13" s="182"/>
      <c r="DS13" s="182"/>
      <c r="DT13" s="182"/>
      <c r="DU13" s="182"/>
      <c r="DV13" s="182"/>
      <c r="DW13" s="182"/>
      <c r="DX13" s="182"/>
      <c r="DY13" s="182">
        <v>11</v>
      </c>
      <c r="DZ13" s="182">
        <v>5</v>
      </c>
      <c r="EA13" s="182">
        <v>0.9</v>
      </c>
      <c r="EB13" s="182">
        <v>45</v>
      </c>
      <c r="ED13" s="174" t="s">
        <v>950</v>
      </c>
      <c r="EE13" s="174">
        <v>6543</v>
      </c>
      <c r="EF13" s="174">
        <v>6543</v>
      </c>
      <c r="EG13" s="174">
        <v>7654</v>
      </c>
      <c r="EH13" s="174">
        <v>6543</v>
      </c>
      <c r="EI13" s="174">
        <v>6543</v>
      </c>
      <c r="EJ13" s="174">
        <v>6543</v>
      </c>
      <c r="EK13" s="174">
        <v>6543</v>
      </c>
      <c r="EL13" s="174">
        <v>7521</v>
      </c>
      <c r="EN13" s="174" t="s">
        <v>458</v>
      </c>
      <c r="EO13" s="174">
        <v>2</v>
      </c>
      <c r="EP13" s="174">
        <v>5</v>
      </c>
      <c r="EX13" s="174">
        <v>1</v>
      </c>
      <c r="FB13" s="174">
        <v>1</v>
      </c>
      <c r="FD13" s="174">
        <v>2</v>
      </c>
      <c r="FE13" s="174">
        <v>1</v>
      </c>
      <c r="FF13" s="174">
        <v>1</v>
      </c>
      <c r="FH13" s="174">
        <v>1</v>
      </c>
      <c r="FO13" s="174">
        <v>3</v>
      </c>
      <c r="FS13" s="174">
        <v>1</v>
      </c>
      <c r="FT13" s="174">
        <v>1</v>
      </c>
      <c r="FU13" s="174">
        <v>2</v>
      </c>
      <c r="GM13" s="174">
        <v>5</v>
      </c>
      <c r="GN13" s="174">
        <v>1</v>
      </c>
      <c r="GO13" s="174">
        <v>1</v>
      </c>
      <c r="GP13" s="174">
        <v>1</v>
      </c>
      <c r="GQ13" s="174">
        <v>1</v>
      </c>
      <c r="GR13" s="174">
        <v>1</v>
      </c>
      <c r="HA13" s="174">
        <v>12</v>
      </c>
      <c r="HB13" s="197">
        <v>10</v>
      </c>
      <c r="HC13" s="183">
        <v>20</v>
      </c>
      <c r="HD13" s="183">
        <v>30</v>
      </c>
      <c r="HE13" s="183">
        <v>10</v>
      </c>
      <c r="HF13" s="183">
        <v>50</v>
      </c>
      <c r="HG13" s="193" t="e">
        <f t="shared" si="3"/>
        <v>#N/A</v>
      </c>
      <c r="HH13" s="192" t="e">
        <f t="shared" si="4"/>
        <v>#N/A</v>
      </c>
      <c r="HI13" s="198">
        <v>10</v>
      </c>
      <c r="HJ13" s="185">
        <v>50</v>
      </c>
      <c r="HK13" s="174">
        <v>11</v>
      </c>
      <c r="HL13" s="174">
        <v>98</v>
      </c>
      <c r="HM13" s="174">
        <v>76</v>
      </c>
      <c r="HN13" s="174">
        <v>75</v>
      </c>
      <c r="HO13" s="174">
        <v>75</v>
      </c>
      <c r="HP13" s="174">
        <v>75</v>
      </c>
      <c r="HQ13" s="174">
        <v>74</v>
      </c>
      <c r="HR13" s="174">
        <v>73</v>
      </c>
      <c r="HS13" s="174">
        <v>66</v>
      </c>
      <c r="HT13" s="174">
        <v>65</v>
      </c>
      <c r="HU13" s="174">
        <v>65</v>
      </c>
      <c r="HV13" s="174">
        <v>64</v>
      </c>
      <c r="HW13" s="174">
        <v>64</v>
      </c>
      <c r="HX13" s="174">
        <v>63</v>
      </c>
      <c r="HY13" s="174">
        <v>63</v>
      </c>
      <c r="HZ13" s="174">
        <v>62</v>
      </c>
      <c r="IA13" s="174">
        <v>54</v>
      </c>
      <c r="IB13" s="174">
        <v>53</v>
      </c>
      <c r="IC13" s="174">
        <v>43</v>
      </c>
      <c r="ID13" s="174">
        <v>32</v>
      </c>
      <c r="IE13" s="174">
        <v>21</v>
      </c>
      <c r="IF13" s="174">
        <v>13</v>
      </c>
      <c r="II13" s="174">
        <f>Skills!K326</f>
        <v>3.4901200000000001</v>
      </c>
      <c r="IJ13" s="174" t="str">
        <f>Skills!B326</f>
        <v>Missile</v>
      </c>
      <c r="IM13" s="174">
        <v>180000</v>
      </c>
      <c r="IN13" s="174">
        <v>11</v>
      </c>
    </row>
    <row r="14" spans="1:248" ht="13.35" customHeight="1" thickBot="1" x14ac:dyDescent="0.25">
      <c r="A14" s="183">
        <f t="shared" si="1"/>
        <v>13</v>
      </c>
      <c r="B14" s="184">
        <f t="shared" si="5"/>
        <v>-4</v>
      </c>
      <c r="C14" s="183">
        <f t="shared" si="2"/>
        <v>13</v>
      </c>
      <c r="E14" s="189" t="s">
        <v>506</v>
      </c>
      <c r="F14" s="190" t="s">
        <v>991</v>
      </c>
      <c r="G14" s="190" t="s">
        <v>1028</v>
      </c>
      <c r="H14" s="190" t="s">
        <v>1007</v>
      </c>
      <c r="I14" s="190" t="s">
        <v>1029</v>
      </c>
      <c r="J14" s="190" t="s">
        <v>1020</v>
      </c>
      <c r="K14" s="190" t="s">
        <v>1030</v>
      </c>
      <c r="L14" s="190" t="s">
        <v>1030</v>
      </c>
      <c r="M14" s="190" t="s">
        <v>930</v>
      </c>
      <c r="N14" s="190" t="s">
        <v>988</v>
      </c>
      <c r="O14" s="190" t="s">
        <v>1031</v>
      </c>
      <c r="P14" s="190" t="s">
        <v>1031</v>
      </c>
      <c r="Q14" s="190" t="s">
        <v>995</v>
      </c>
      <c r="R14" s="190" t="s">
        <v>1030</v>
      </c>
      <c r="S14" s="190" t="s">
        <v>1030</v>
      </c>
      <c r="T14" s="190" t="s">
        <v>1020</v>
      </c>
      <c r="U14" s="190" t="s">
        <v>1029</v>
      </c>
      <c r="V14" s="190" t="s">
        <v>1032</v>
      </c>
      <c r="W14" s="190" t="s">
        <v>1032</v>
      </c>
      <c r="X14" s="190" t="s">
        <v>1032</v>
      </c>
      <c r="Y14" s="190" t="s">
        <v>1032</v>
      </c>
      <c r="Z14" s="190"/>
      <c r="AA14" s="190" t="s">
        <v>1033</v>
      </c>
      <c r="AB14" s="190" t="s">
        <v>1033</v>
      </c>
      <c r="AC14" s="190" t="s">
        <v>1029</v>
      </c>
      <c r="AD14" s="190" t="s">
        <v>1032</v>
      </c>
      <c r="AE14" s="190"/>
      <c r="AF14" s="190" t="s">
        <v>1030</v>
      </c>
      <c r="AG14" s="190" t="s">
        <v>1030</v>
      </c>
      <c r="AH14" s="190" t="s">
        <v>1032</v>
      </c>
      <c r="AI14" s="190"/>
      <c r="AJ14" s="190" t="s">
        <v>1029</v>
      </c>
      <c r="AK14" s="190" t="s">
        <v>1030</v>
      </c>
      <c r="AL14" s="190" t="s">
        <v>1031</v>
      </c>
      <c r="AM14" s="190" t="s">
        <v>1030</v>
      </c>
      <c r="AN14" s="190"/>
      <c r="AO14" s="190" t="s">
        <v>1030</v>
      </c>
      <c r="AP14" s="190" t="s">
        <v>1030</v>
      </c>
      <c r="AQ14" s="190" t="s">
        <v>1020</v>
      </c>
      <c r="AR14" s="190"/>
      <c r="AS14" s="190" t="s">
        <v>1031</v>
      </c>
      <c r="AT14" s="190" t="s">
        <v>1031</v>
      </c>
      <c r="AU14" s="190" t="s">
        <v>1031</v>
      </c>
      <c r="AV14" s="190" t="s">
        <v>1031</v>
      </c>
      <c r="AW14" s="190" t="s">
        <v>1031</v>
      </c>
      <c r="AX14" s="190" t="s">
        <v>1031</v>
      </c>
      <c r="AY14" s="190" t="s">
        <v>1031</v>
      </c>
      <c r="AZ14" s="190" t="s">
        <v>1031</v>
      </c>
      <c r="BA14" s="190" t="s">
        <v>1031</v>
      </c>
      <c r="BB14" s="190" t="s">
        <v>1031</v>
      </c>
      <c r="BC14" s="190" t="s">
        <v>1031</v>
      </c>
      <c r="BD14" s="190" t="s">
        <v>1031</v>
      </c>
      <c r="BE14" s="190" t="s">
        <v>1031</v>
      </c>
      <c r="BF14" s="190" t="s">
        <v>1031</v>
      </c>
      <c r="BG14" s="190" t="s">
        <v>1031</v>
      </c>
      <c r="BH14" s="190" t="s">
        <v>1031</v>
      </c>
      <c r="BI14" s="190" t="s">
        <v>1031</v>
      </c>
      <c r="BJ14" s="190" t="s">
        <v>1031</v>
      </c>
      <c r="BK14" s="190" t="s">
        <v>1031</v>
      </c>
      <c r="BL14" s="190" t="s">
        <v>1031</v>
      </c>
      <c r="BM14" s="190" t="s">
        <v>1031</v>
      </c>
      <c r="BN14" s="190" t="s">
        <v>1031</v>
      </c>
      <c r="BO14" s="190" t="s">
        <v>1031</v>
      </c>
      <c r="BP14" s="190" t="s">
        <v>1031</v>
      </c>
      <c r="BQ14" s="190" t="s">
        <v>1031</v>
      </c>
      <c r="BR14" s="190" t="s">
        <v>1031</v>
      </c>
      <c r="BS14" s="190" t="s">
        <v>1031</v>
      </c>
      <c r="BT14" s="190" t="s">
        <v>1031</v>
      </c>
      <c r="BU14" s="190" t="s">
        <v>1031</v>
      </c>
      <c r="BV14" s="190" t="s">
        <v>1031</v>
      </c>
      <c r="BW14" s="190" t="s">
        <v>1031</v>
      </c>
      <c r="BX14" s="190" t="s">
        <v>1031</v>
      </c>
      <c r="BY14" s="190" t="s">
        <v>1031</v>
      </c>
      <c r="BZ14" s="190" t="s">
        <v>1031</v>
      </c>
      <c r="CA14" s="190" t="s">
        <v>1031</v>
      </c>
      <c r="CB14" s="190" t="s">
        <v>1031</v>
      </c>
      <c r="CC14" s="190" t="s">
        <v>1031</v>
      </c>
      <c r="CD14" s="190" t="s">
        <v>1031</v>
      </c>
      <c r="CE14" s="190" t="s">
        <v>1031</v>
      </c>
      <c r="CF14" s="190" t="s">
        <v>1031</v>
      </c>
      <c r="CG14" s="190" t="s">
        <v>1031</v>
      </c>
      <c r="CH14" s="190" t="s">
        <v>1031</v>
      </c>
      <c r="CI14" s="190" t="s">
        <v>1031</v>
      </c>
      <c r="CJ14" s="190" t="s">
        <v>1031</v>
      </c>
      <c r="CK14" s="190" t="s">
        <v>1031</v>
      </c>
      <c r="CL14" s="190" t="s">
        <v>1031</v>
      </c>
      <c r="CM14" s="190" t="s">
        <v>1031</v>
      </c>
      <c r="CN14" s="190" t="s">
        <v>1031</v>
      </c>
      <c r="CO14" s="190" t="s">
        <v>1031</v>
      </c>
      <c r="CP14" s="190" t="s">
        <v>1031</v>
      </c>
      <c r="CQ14" s="190" t="s">
        <v>1031</v>
      </c>
      <c r="CR14" s="190"/>
      <c r="CS14" s="190" t="s">
        <v>992</v>
      </c>
      <c r="CT14" s="190" t="s">
        <v>1029</v>
      </c>
      <c r="CU14" s="190" t="s">
        <v>1028</v>
      </c>
      <c r="CV14" s="190" t="s">
        <v>1029</v>
      </c>
      <c r="CW14" s="190"/>
      <c r="CX14" s="190" t="s">
        <v>1029</v>
      </c>
      <c r="CY14" s="190" t="s">
        <v>930</v>
      </c>
      <c r="CZ14" s="190" t="s">
        <v>988</v>
      </c>
      <c r="DA14" s="190" t="s">
        <v>992</v>
      </c>
      <c r="DB14" s="190" t="s">
        <v>1030</v>
      </c>
      <c r="DC14" s="190" t="s">
        <v>930</v>
      </c>
      <c r="DD14" s="190" t="s">
        <v>1031</v>
      </c>
      <c r="DE14" s="190"/>
      <c r="DF14" s="174">
        <v>13</v>
      </c>
      <c r="DH14" s="174" t="s">
        <v>1034</v>
      </c>
      <c r="DI14" s="174" t="s">
        <v>1035</v>
      </c>
      <c r="DJ14" s="174">
        <v>2</v>
      </c>
      <c r="DK14" s="174">
        <v>2</v>
      </c>
      <c r="DO14" s="174">
        <v>2</v>
      </c>
      <c r="DP14" s="174">
        <v>2</v>
      </c>
      <c r="DQ14" s="174">
        <v>-2</v>
      </c>
      <c r="DR14" s="174">
        <v>2</v>
      </c>
      <c r="DS14" s="174">
        <v>-2</v>
      </c>
      <c r="DY14" s="174">
        <v>12</v>
      </c>
      <c r="DZ14" s="174">
        <v>5</v>
      </c>
      <c r="EA14" s="174">
        <v>1</v>
      </c>
      <c r="EB14" s="174">
        <f>DZ14*10</f>
        <v>50</v>
      </c>
      <c r="ED14" s="174" t="s">
        <v>1035</v>
      </c>
      <c r="EE14" s="174">
        <v>6543</v>
      </c>
      <c r="EF14" s="174">
        <v>6543</v>
      </c>
      <c r="EG14" s="174">
        <v>7654</v>
      </c>
      <c r="EH14" s="174">
        <v>6543</v>
      </c>
      <c r="EI14" s="174">
        <v>6543</v>
      </c>
      <c r="EJ14" s="174">
        <v>6543</v>
      </c>
      <c r="EK14" s="174">
        <v>6543</v>
      </c>
      <c r="EL14" s="174">
        <v>6521</v>
      </c>
      <c r="EN14" s="182" t="s">
        <v>1036</v>
      </c>
      <c r="FH14" s="174">
        <v>0</v>
      </c>
      <c r="HA14" s="174">
        <v>13</v>
      </c>
      <c r="HB14" s="197">
        <v>11</v>
      </c>
      <c r="HC14" s="183">
        <v>21</v>
      </c>
      <c r="HD14" s="183">
        <v>32</v>
      </c>
      <c r="HE14" s="183">
        <v>11</v>
      </c>
      <c r="HF14" s="183">
        <v>53</v>
      </c>
      <c r="HG14" s="193" t="e">
        <f t="shared" si="3"/>
        <v>#N/A</v>
      </c>
      <c r="HH14" s="192" t="e">
        <f t="shared" si="4"/>
        <v>#N/A</v>
      </c>
      <c r="HI14" s="198">
        <v>11</v>
      </c>
      <c r="HJ14" s="185">
        <v>53</v>
      </c>
      <c r="HK14" s="174">
        <v>12</v>
      </c>
      <c r="HL14" s="174">
        <v>106</v>
      </c>
      <c r="HM14" s="174">
        <v>82</v>
      </c>
      <c r="HN14" s="174">
        <v>80</v>
      </c>
      <c r="HO14" s="174">
        <v>80</v>
      </c>
      <c r="HP14" s="174">
        <v>80</v>
      </c>
      <c r="HQ14" s="174">
        <v>78</v>
      </c>
      <c r="HR14" s="174">
        <v>76</v>
      </c>
      <c r="HS14" s="174">
        <v>72</v>
      </c>
      <c r="HT14" s="174">
        <v>70</v>
      </c>
      <c r="HU14" s="174">
        <v>70</v>
      </c>
      <c r="HV14" s="174">
        <v>68</v>
      </c>
      <c r="HW14" s="174">
        <v>68</v>
      </c>
      <c r="HX14" s="174">
        <v>66</v>
      </c>
      <c r="HY14" s="174">
        <v>66</v>
      </c>
      <c r="HZ14" s="174">
        <v>64</v>
      </c>
      <c r="IA14" s="174">
        <v>58</v>
      </c>
      <c r="IB14" s="174">
        <v>56</v>
      </c>
      <c r="IC14" s="174">
        <v>46</v>
      </c>
      <c r="ID14" s="174">
        <v>34</v>
      </c>
      <c r="IE14" s="174">
        <v>22</v>
      </c>
      <c r="IF14" s="174">
        <v>14</v>
      </c>
      <c r="II14" s="174">
        <f>Skills!K328</f>
        <v>3.4901300000000002</v>
      </c>
      <c r="IJ14" s="174" t="str">
        <f>Skills!B328</f>
        <v>Artillery</v>
      </c>
      <c r="IM14" s="174">
        <v>210000</v>
      </c>
      <c r="IN14" s="174">
        <v>12</v>
      </c>
    </row>
    <row r="15" spans="1:248" ht="13.35" customHeight="1" thickBot="1" x14ac:dyDescent="0.25">
      <c r="A15" s="183">
        <f t="shared" si="1"/>
        <v>14</v>
      </c>
      <c r="B15" s="184">
        <f t="shared" si="5"/>
        <v>-4</v>
      </c>
      <c r="C15" s="183">
        <f t="shared" si="2"/>
        <v>14</v>
      </c>
      <c r="E15" s="189" t="s">
        <v>508</v>
      </c>
      <c r="F15" s="190" t="s">
        <v>1007</v>
      </c>
      <c r="G15" s="190" t="s">
        <v>1020</v>
      </c>
      <c r="H15" s="190" t="s">
        <v>1029</v>
      </c>
      <c r="I15" s="190" t="s">
        <v>1008</v>
      </c>
      <c r="J15" s="190" t="s">
        <v>1020</v>
      </c>
      <c r="K15" s="190" t="s">
        <v>1037</v>
      </c>
      <c r="L15" s="190" t="s">
        <v>1037</v>
      </c>
      <c r="M15" s="190" t="s">
        <v>930</v>
      </c>
      <c r="N15" s="190" t="s">
        <v>930</v>
      </c>
      <c r="O15" s="190" t="s">
        <v>1038</v>
      </c>
      <c r="P15" s="190" t="s">
        <v>1038</v>
      </c>
      <c r="Q15" s="190" t="s">
        <v>1037</v>
      </c>
      <c r="R15" s="190" t="s">
        <v>1037</v>
      </c>
      <c r="S15" s="190" t="s">
        <v>1037</v>
      </c>
      <c r="T15" s="190" t="s">
        <v>1028</v>
      </c>
      <c r="U15" s="190" t="s">
        <v>1029</v>
      </c>
      <c r="V15" s="190" t="s">
        <v>1028</v>
      </c>
      <c r="W15" s="190" t="s">
        <v>1032</v>
      </c>
      <c r="X15" s="190" t="s">
        <v>1032</v>
      </c>
      <c r="Y15" s="190" t="s">
        <v>1032</v>
      </c>
      <c r="Z15" s="190"/>
      <c r="AA15" s="190" t="s">
        <v>1037</v>
      </c>
      <c r="AB15" s="190" t="s">
        <v>1037</v>
      </c>
      <c r="AC15" s="190" t="s">
        <v>1028</v>
      </c>
      <c r="AD15" s="190" t="s">
        <v>1020</v>
      </c>
      <c r="AE15" s="190"/>
      <c r="AF15" s="190" t="s">
        <v>1037</v>
      </c>
      <c r="AG15" s="190" t="s">
        <v>1037</v>
      </c>
      <c r="AH15" s="190" t="s">
        <v>1028</v>
      </c>
      <c r="AI15" s="190"/>
      <c r="AJ15" s="190" t="s">
        <v>1029</v>
      </c>
      <c r="AK15" s="190" t="s">
        <v>1037</v>
      </c>
      <c r="AL15" s="190" t="s">
        <v>1038</v>
      </c>
      <c r="AM15" s="190" t="s">
        <v>1037</v>
      </c>
      <c r="AN15" s="190"/>
      <c r="AO15" s="190" t="s">
        <v>1037</v>
      </c>
      <c r="AP15" s="190" t="s">
        <v>1037</v>
      </c>
      <c r="AQ15" s="190" t="s">
        <v>1028</v>
      </c>
      <c r="AR15" s="190"/>
      <c r="AS15" s="190" t="s">
        <v>1031</v>
      </c>
      <c r="AT15" s="190" t="s">
        <v>1031</v>
      </c>
      <c r="AU15" s="190" t="s">
        <v>1031</v>
      </c>
      <c r="AV15" s="190" t="s">
        <v>1031</v>
      </c>
      <c r="AW15" s="190" t="s">
        <v>1031</v>
      </c>
      <c r="AX15" s="190" t="s">
        <v>1031</v>
      </c>
      <c r="AY15" s="190" t="s">
        <v>1031</v>
      </c>
      <c r="AZ15" s="190" t="s">
        <v>1031</v>
      </c>
      <c r="BA15" s="190" t="s">
        <v>1031</v>
      </c>
      <c r="BB15" s="190" t="s">
        <v>1031</v>
      </c>
      <c r="BC15" s="190" t="s">
        <v>1031</v>
      </c>
      <c r="BD15" s="190" t="s">
        <v>1031</v>
      </c>
      <c r="BE15" s="190" t="s">
        <v>1031</v>
      </c>
      <c r="BF15" s="190" t="s">
        <v>1031</v>
      </c>
      <c r="BG15" s="190" t="s">
        <v>1031</v>
      </c>
      <c r="BH15" s="190" t="s">
        <v>1031</v>
      </c>
      <c r="BI15" s="190" t="s">
        <v>1031</v>
      </c>
      <c r="BJ15" s="190" t="s">
        <v>1031</v>
      </c>
      <c r="BK15" s="190" t="s">
        <v>1031</v>
      </c>
      <c r="BL15" s="190" t="s">
        <v>1031</v>
      </c>
      <c r="BM15" s="190" t="s">
        <v>1031</v>
      </c>
      <c r="BN15" s="190" t="s">
        <v>1031</v>
      </c>
      <c r="BO15" s="190" t="s">
        <v>1031</v>
      </c>
      <c r="BP15" s="190" t="s">
        <v>1031</v>
      </c>
      <c r="BQ15" s="190" t="s">
        <v>1031</v>
      </c>
      <c r="BR15" s="190" t="s">
        <v>1031</v>
      </c>
      <c r="BS15" s="190" t="s">
        <v>1031</v>
      </c>
      <c r="BT15" s="190" t="s">
        <v>1031</v>
      </c>
      <c r="BU15" s="190" t="s">
        <v>1031</v>
      </c>
      <c r="BV15" s="190" t="s">
        <v>1031</v>
      </c>
      <c r="BW15" s="190" t="s">
        <v>1031</v>
      </c>
      <c r="BX15" s="190" t="s">
        <v>1031</v>
      </c>
      <c r="BY15" s="190" t="s">
        <v>1031</v>
      </c>
      <c r="BZ15" s="190" t="s">
        <v>1031</v>
      </c>
      <c r="CA15" s="190" t="s">
        <v>1031</v>
      </c>
      <c r="CB15" s="190" t="s">
        <v>1031</v>
      </c>
      <c r="CC15" s="190" t="s">
        <v>1031</v>
      </c>
      <c r="CD15" s="190" t="s">
        <v>1031</v>
      </c>
      <c r="CE15" s="190" t="s">
        <v>1031</v>
      </c>
      <c r="CF15" s="190" t="s">
        <v>1031</v>
      </c>
      <c r="CG15" s="190" t="s">
        <v>1031</v>
      </c>
      <c r="CH15" s="190" t="s">
        <v>1031</v>
      </c>
      <c r="CI15" s="190" t="s">
        <v>1031</v>
      </c>
      <c r="CJ15" s="190" t="s">
        <v>1031</v>
      </c>
      <c r="CK15" s="190" t="s">
        <v>1031</v>
      </c>
      <c r="CL15" s="190" t="s">
        <v>1031</v>
      </c>
      <c r="CM15" s="190" t="s">
        <v>1031</v>
      </c>
      <c r="CN15" s="190" t="s">
        <v>1031</v>
      </c>
      <c r="CO15" s="190" t="s">
        <v>1031</v>
      </c>
      <c r="CP15" s="190" t="s">
        <v>1031</v>
      </c>
      <c r="CQ15" s="190" t="s">
        <v>1031</v>
      </c>
      <c r="CR15" s="190"/>
      <c r="CS15" s="190" t="s">
        <v>1020</v>
      </c>
      <c r="CT15" s="190" t="s">
        <v>1020</v>
      </c>
      <c r="CU15" s="190" t="s">
        <v>1039</v>
      </c>
      <c r="CV15" s="190" t="s">
        <v>1010</v>
      </c>
      <c r="CW15" s="190"/>
      <c r="CX15" s="190" t="s">
        <v>1029</v>
      </c>
      <c r="CY15" s="190" t="s">
        <v>930</v>
      </c>
      <c r="CZ15" s="190" t="s">
        <v>930</v>
      </c>
      <c r="DA15" s="190" t="s">
        <v>1020</v>
      </c>
      <c r="DB15" s="190" t="s">
        <v>1037</v>
      </c>
      <c r="DC15" s="190" t="s">
        <v>930</v>
      </c>
      <c r="DD15" s="190" t="s">
        <v>1038</v>
      </c>
      <c r="DE15" s="190"/>
      <c r="DF15" s="174">
        <v>14</v>
      </c>
      <c r="DH15" s="174" t="s">
        <v>916</v>
      </c>
      <c r="DI15" s="174" t="s">
        <v>977</v>
      </c>
      <c r="DJ15" s="174">
        <v>2</v>
      </c>
      <c r="DK15" s="174">
        <v>2</v>
      </c>
      <c r="DL15" s="174">
        <v>-2</v>
      </c>
      <c r="DM15" s="174">
        <v>2</v>
      </c>
      <c r="DO15" s="174">
        <v>4</v>
      </c>
      <c r="DP15" s="174">
        <v>4</v>
      </c>
      <c r="DS15" s="174">
        <v>2</v>
      </c>
      <c r="DW15" s="174">
        <v>5</v>
      </c>
      <c r="DX15" s="174">
        <v>100</v>
      </c>
      <c r="DY15" s="174">
        <v>3</v>
      </c>
      <c r="DZ15" s="174">
        <v>3</v>
      </c>
      <c r="EA15" s="174">
        <v>1</v>
      </c>
      <c r="EB15" s="174">
        <f>DZ15*10</f>
        <v>30</v>
      </c>
      <c r="ED15" s="174" t="s">
        <v>977</v>
      </c>
      <c r="EE15" s="174">
        <v>6543</v>
      </c>
      <c r="EF15" s="174">
        <v>7654</v>
      </c>
      <c r="EG15" s="174">
        <v>6543</v>
      </c>
      <c r="EH15" s="174">
        <v>6543</v>
      </c>
      <c r="EI15" s="174">
        <v>6543</v>
      </c>
      <c r="EJ15" s="174">
        <v>6543</v>
      </c>
      <c r="EK15" s="174">
        <v>6543</v>
      </c>
      <c r="EL15" s="174">
        <v>7421</v>
      </c>
      <c r="EN15" s="174" t="s">
        <v>479</v>
      </c>
      <c r="EO15" s="174">
        <v>2</v>
      </c>
      <c r="EP15" s="174">
        <v>2</v>
      </c>
      <c r="EQ15" s="174">
        <v>2</v>
      </c>
      <c r="ER15" s="174">
        <v>2</v>
      </c>
      <c r="ES15" s="174">
        <v>2</v>
      </c>
      <c r="ET15" s="174">
        <v>2</v>
      </c>
      <c r="EU15" s="174">
        <v>2</v>
      </c>
      <c r="EV15" s="174">
        <v>2</v>
      </c>
      <c r="EW15" s="174">
        <v>2</v>
      </c>
      <c r="EX15" s="174">
        <v>2</v>
      </c>
      <c r="EY15" s="174">
        <v>2</v>
      </c>
      <c r="EZ15" s="174">
        <v>2</v>
      </c>
      <c r="FA15" s="174">
        <v>2</v>
      </c>
      <c r="FB15" s="174">
        <v>4</v>
      </c>
      <c r="FC15" s="174">
        <v>6</v>
      </c>
      <c r="FD15" s="174">
        <v>6</v>
      </c>
      <c r="FE15" s="174">
        <v>6</v>
      </c>
      <c r="FF15" s="174">
        <v>2</v>
      </c>
      <c r="FG15" s="174">
        <v>2</v>
      </c>
      <c r="FH15" s="174">
        <v>2</v>
      </c>
      <c r="FI15" s="174">
        <v>2</v>
      </c>
      <c r="FJ15" s="174">
        <v>2</v>
      </c>
      <c r="FK15" s="174">
        <v>2</v>
      </c>
      <c r="FL15" s="174">
        <v>2</v>
      </c>
      <c r="FM15" s="174">
        <v>2</v>
      </c>
      <c r="FN15" s="174">
        <v>2</v>
      </c>
      <c r="FO15" s="174">
        <v>2</v>
      </c>
      <c r="FP15" s="174">
        <v>2</v>
      </c>
      <c r="FQ15" s="174">
        <v>2</v>
      </c>
      <c r="FR15" s="174">
        <v>2</v>
      </c>
      <c r="FS15" s="174">
        <v>8</v>
      </c>
      <c r="FT15" s="174">
        <v>8</v>
      </c>
      <c r="FU15" s="174">
        <v>8</v>
      </c>
      <c r="FV15" s="174">
        <v>3</v>
      </c>
      <c r="FW15" s="174">
        <v>3</v>
      </c>
      <c r="FX15" s="174">
        <v>3</v>
      </c>
      <c r="FY15" s="174">
        <v>3</v>
      </c>
      <c r="FZ15" s="174">
        <v>2</v>
      </c>
      <c r="GA15" s="174">
        <v>2</v>
      </c>
      <c r="GB15" s="174">
        <v>2</v>
      </c>
      <c r="GC15" s="174">
        <v>2</v>
      </c>
      <c r="GD15" s="174">
        <v>2</v>
      </c>
      <c r="GE15" s="174">
        <v>2</v>
      </c>
      <c r="GF15" s="174">
        <v>2</v>
      </c>
      <c r="GG15" s="174">
        <v>2</v>
      </c>
      <c r="GH15" s="174">
        <v>2</v>
      </c>
      <c r="GL15" s="174">
        <v>2</v>
      </c>
      <c r="GM15" s="174">
        <v>6</v>
      </c>
      <c r="GN15" s="174">
        <v>2</v>
      </c>
      <c r="GO15" s="174">
        <v>2</v>
      </c>
      <c r="GP15" s="174">
        <v>2</v>
      </c>
      <c r="GQ15" s="174">
        <v>6</v>
      </c>
      <c r="GR15" s="174">
        <v>6</v>
      </c>
      <c r="HA15" s="174">
        <v>14</v>
      </c>
      <c r="HB15" s="197">
        <v>12</v>
      </c>
      <c r="HC15" s="183">
        <v>22</v>
      </c>
      <c r="HD15" s="183">
        <v>34</v>
      </c>
      <c r="HE15" s="183">
        <v>12</v>
      </c>
      <c r="HF15" s="183">
        <v>56</v>
      </c>
      <c r="HG15" s="193" t="e">
        <f t="shared" si="3"/>
        <v>#N/A</v>
      </c>
      <c r="HH15" s="192" t="e">
        <f t="shared" si="4"/>
        <v>#N/A</v>
      </c>
      <c r="HI15" s="198">
        <v>12</v>
      </c>
      <c r="HJ15" s="185">
        <v>56</v>
      </c>
      <c r="HK15" s="174">
        <v>13</v>
      </c>
      <c r="HL15" s="174">
        <v>114</v>
      </c>
      <c r="HM15" s="174">
        <v>88</v>
      </c>
      <c r="HN15" s="174">
        <v>85</v>
      </c>
      <c r="HO15" s="174">
        <v>85</v>
      </c>
      <c r="HP15" s="174">
        <v>85</v>
      </c>
      <c r="HQ15" s="174">
        <v>82</v>
      </c>
      <c r="HR15" s="174">
        <v>79</v>
      </c>
      <c r="HS15" s="174">
        <v>78</v>
      </c>
      <c r="HT15" s="174">
        <v>75</v>
      </c>
      <c r="HU15" s="174">
        <v>75</v>
      </c>
      <c r="HV15" s="174">
        <v>72</v>
      </c>
      <c r="HW15" s="174">
        <v>72</v>
      </c>
      <c r="HX15" s="174">
        <v>69</v>
      </c>
      <c r="HY15" s="174">
        <v>69</v>
      </c>
      <c r="HZ15" s="174">
        <v>66</v>
      </c>
      <c r="IA15" s="174">
        <v>62</v>
      </c>
      <c r="IB15" s="174">
        <v>59</v>
      </c>
      <c r="IC15" s="174">
        <v>49</v>
      </c>
      <c r="ID15" s="174">
        <v>36</v>
      </c>
      <c r="IE15" s="174">
        <v>23</v>
      </c>
      <c r="IF15" s="174">
        <v>15</v>
      </c>
      <c r="II15" s="174">
        <f>Skills!K330</f>
        <v>-14.50986</v>
      </c>
      <c r="IJ15" s="174" t="str">
        <f>Skills!B330</f>
        <v>Pole Arm</v>
      </c>
      <c r="IM15" s="174">
        <v>240000</v>
      </c>
      <c r="IN15" s="174">
        <v>13</v>
      </c>
    </row>
    <row r="16" spans="1:248" ht="13.35" customHeight="1" thickBot="1" x14ac:dyDescent="0.25">
      <c r="A16" s="183">
        <f t="shared" si="1"/>
        <v>15</v>
      </c>
      <c r="B16" s="184">
        <f t="shared" si="5"/>
        <v>-4</v>
      </c>
      <c r="C16" s="183">
        <f t="shared" si="2"/>
        <v>15</v>
      </c>
      <c r="E16" s="189" t="s">
        <v>517</v>
      </c>
      <c r="F16" s="190" t="s">
        <v>929</v>
      </c>
      <c r="G16" s="190" t="s">
        <v>929</v>
      </c>
      <c r="H16" s="190" t="s">
        <v>929</v>
      </c>
      <c r="I16" s="190" t="s">
        <v>929</v>
      </c>
      <c r="J16" s="190" t="s">
        <v>927</v>
      </c>
      <c r="K16" s="190" t="s">
        <v>927</v>
      </c>
      <c r="L16" s="190" t="s">
        <v>986</v>
      </c>
      <c r="M16" s="190" t="s">
        <v>927</v>
      </c>
      <c r="N16" s="190" t="s">
        <v>1040</v>
      </c>
      <c r="O16" s="190" t="s">
        <v>927</v>
      </c>
      <c r="P16" s="190" t="s">
        <v>927</v>
      </c>
      <c r="Q16" s="190" t="s">
        <v>927</v>
      </c>
      <c r="R16" s="190" t="s">
        <v>986</v>
      </c>
      <c r="S16" s="190" t="s">
        <v>927</v>
      </c>
      <c r="T16" s="190" t="s">
        <v>929</v>
      </c>
      <c r="U16" s="190" t="s">
        <v>929</v>
      </c>
      <c r="V16" s="190" t="s">
        <v>929</v>
      </c>
      <c r="W16" s="190" t="s">
        <v>927</v>
      </c>
      <c r="X16" s="190" t="s">
        <v>986</v>
      </c>
      <c r="Y16" s="190" t="s">
        <v>986</v>
      </c>
      <c r="Z16" s="190"/>
      <c r="AA16" s="190" t="s">
        <v>927</v>
      </c>
      <c r="AB16" s="190" t="s">
        <v>927</v>
      </c>
      <c r="AC16" s="190" t="s">
        <v>929</v>
      </c>
      <c r="AD16" s="190" t="s">
        <v>929</v>
      </c>
      <c r="AE16" s="190"/>
      <c r="AF16" s="190" t="s">
        <v>986</v>
      </c>
      <c r="AG16" s="190" t="s">
        <v>927</v>
      </c>
      <c r="AH16" s="190" t="s">
        <v>929</v>
      </c>
      <c r="AI16" s="190"/>
      <c r="AJ16" s="190" t="s">
        <v>929</v>
      </c>
      <c r="AK16" s="190" t="s">
        <v>986</v>
      </c>
      <c r="AL16" s="190" t="s">
        <v>986</v>
      </c>
      <c r="AM16" s="190" t="s">
        <v>986</v>
      </c>
      <c r="AN16" s="190"/>
      <c r="AO16" s="190" t="s">
        <v>927</v>
      </c>
      <c r="AP16" s="190" t="s">
        <v>927</v>
      </c>
      <c r="AQ16" s="190" t="s">
        <v>929</v>
      </c>
      <c r="AR16" s="190"/>
      <c r="AS16" s="190" t="s">
        <v>927</v>
      </c>
      <c r="AT16" s="190" t="s">
        <v>927</v>
      </c>
      <c r="AU16" s="190" t="s">
        <v>927</v>
      </c>
      <c r="AV16" s="190" t="s">
        <v>927</v>
      </c>
      <c r="AW16" s="190" t="s">
        <v>927</v>
      </c>
      <c r="AX16" s="190" t="s">
        <v>927</v>
      </c>
      <c r="AY16" s="190" t="s">
        <v>927</v>
      </c>
      <c r="AZ16" s="190" t="s">
        <v>927</v>
      </c>
      <c r="BA16" s="190" t="s">
        <v>927</v>
      </c>
      <c r="BB16" s="190" t="s">
        <v>927</v>
      </c>
      <c r="BC16" s="190" t="s">
        <v>927</v>
      </c>
      <c r="BD16" s="190" t="s">
        <v>927</v>
      </c>
      <c r="BE16" s="190" t="s">
        <v>927</v>
      </c>
      <c r="BF16" s="190" t="s">
        <v>927</v>
      </c>
      <c r="BG16" s="190" t="s">
        <v>927</v>
      </c>
      <c r="BH16" s="190" t="s">
        <v>927</v>
      </c>
      <c r="BI16" s="190" t="s">
        <v>927</v>
      </c>
      <c r="BJ16" s="190" t="s">
        <v>927</v>
      </c>
      <c r="BK16" s="190" t="s">
        <v>927</v>
      </c>
      <c r="BL16" s="190" t="s">
        <v>927</v>
      </c>
      <c r="BM16" s="190" t="s">
        <v>927</v>
      </c>
      <c r="BN16" s="190" t="s">
        <v>927</v>
      </c>
      <c r="BO16" s="190" t="s">
        <v>927</v>
      </c>
      <c r="BP16" s="190" t="s">
        <v>927</v>
      </c>
      <c r="BQ16" s="190" t="s">
        <v>927</v>
      </c>
      <c r="BR16" s="190" t="s">
        <v>927</v>
      </c>
      <c r="BS16" s="190" t="s">
        <v>927</v>
      </c>
      <c r="BT16" s="190" t="s">
        <v>927</v>
      </c>
      <c r="BU16" s="190" t="s">
        <v>927</v>
      </c>
      <c r="BV16" s="190" t="s">
        <v>927</v>
      </c>
      <c r="BW16" s="190" t="s">
        <v>927</v>
      </c>
      <c r="BX16" s="190" t="s">
        <v>927</v>
      </c>
      <c r="BY16" s="190" t="s">
        <v>927</v>
      </c>
      <c r="BZ16" s="190" t="s">
        <v>927</v>
      </c>
      <c r="CA16" s="190" t="s">
        <v>927</v>
      </c>
      <c r="CB16" s="190" t="s">
        <v>927</v>
      </c>
      <c r="CC16" s="190" t="s">
        <v>927</v>
      </c>
      <c r="CD16" s="190" t="s">
        <v>927</v>
      </c>
      <c r="CE16" s="190" t="s">
        <v>927</v>
      </c>
      <c r="CF16" s="190" t="s">
        <v>927</v>
      </c>
      <c r="CG16" s="190" t="s">
        <v>927</v>
      </c>
      <c r="CH16" s="190" t="s">
        <v>927</v>
      </c>
      <c r="CI16" s="190" t="s">
        <v>927</v>
      </c>
      <c r="CJ16" s="190" t="s">
        <v>927</v>
      </c>
      <c r="CK16" s="190" t="s">
        <v>927</v>
      </c>
      <c r="CL16" s="190" t="s">
        <v>927</v>
      </c>
      <c r="CM16" s="190" t="s">
        <v>927</v>
      </c>
      <c r="CN16" s="190" t="s">
        <v>927</v>
      </c>
      <c r="CO16" s="190" t="s">
        <v>927</v>
      </c>
      <c r="CP16" s="190" t="s">
        <v>927</v>
      </c>
      <c r="CQ16" s="190" t="s">
        <v>927</v>
      </c>
      <c r="CR16" s="190"/>
      <c r="CS16" s="190" t="s">
        <v>928</v>
      </c>
      <c r="CT16" s="190" t="s">
        <v>927</v>
      </c>
      <c r="CU16" s="190" t="s">
        <v>986</v>
      </c>
      <c r="CV16" s="190" t="s">
        <v>927</v>
      </c>
      <c r="CW16" s="190"/>
      <c r="CX16" s="190" t="s">
        <v>929</v>
      </c>
      <c r="CY16" s="190" t="s">
        <v>927</v>
      </c>
      <c r="CZ16" s="190" t="s">
        <v>927</v>
      </c>
      <c r="DA16" s="190" t="s">
        <v>928</v>
      </c>
      <c r="DB16" s="190" t="s">
        <v>927</v>
      </c>
      <c r="DC16" s="190" t="s">
        <v>927</v>
      </c>
      <c r="DD16" s="190" t="s">
        <v>927</v>
      </c>
      <c r="DE16" s="190"/>
      <c r="DF16" s="174">
        <v>15</v>
      </c>
      <c r="DH16" s="174" t="s">
        <v>916</v>
      </c>
      <c r="DI16" s="174" t="s">
        <v>976</v>
      </c>
      <c r="DJ16" s="174">
        <v>2</v>
      </c>
      <c r="DK16" s="174">
        <v>4</v>
      </c>
      <c r="DL16" s="174">
        <v>-2</v>
      </c>
      <c r="DM16" s="174">
        <v>2</v>
      </c>
      <c r="DO16" s="174">
        <v>2</v>
      </c>
      <c r="DP16" s="174">
        <v>4</v>
      </c>
      <c r="DR16" s="174">
        <v>2</v>
      </c>
      <c r="DW16" s="174">
        <v>5</v>
      </c>
      <c r="DX16" s="174">
        <v>100</v>
      </c>
      <c r="DY16" s="174">
        <v>3</v>
      </c>
      <c r="DZ16" s="174">
        <v>3</v>
      </c>
      <c r="EA16" s="174">
        <v>1</v>
      </c>
      <c r="EB16" s="174">
        <f>DZ16*10</f>
        <v>30</v>
      </c>
      <c r="ED16" s="174" t="s">
        <v>976</v>
      </c>
      <c r="EE16" s="174">
        <v>7654</v>
      </c>
      <c r="EF16" s="174">
        <v>6543</v>
      </c>
      <c r="EG16" s="174">
        <v>6543</v>
      </c>
      <c r="EH16" s="174">
        <v>6543</v>
      </c>
      <c r="EI16" s="174">
        <v>6543</v>
      </c>
      <c r="EJ16" s="174">
        <v>6543</v>
      </c>
      <c r="EK16" s="174">
        <v>6543</v>
      </c>
      <c r="EL16" s="174">
        <v>6321</v>
      </c>
      <c r="EN16" s="182" t="s">
        <v>1041</v>
      </c>
      <c r="EO16" s="174">
        <v>1</v>
      </c>
      <c r="EP16" s="174">
        <v>1</v>
      </c>
      <c r="EQ16" s="174">
        <v>1</v>
      </c>
      <c r="ER16" s="174">
        <v>1</v>
      </c>
      <c r="ES16" s="174">
        <v>1</v>
      </c>
      <c r="ET16" s="174">
        <v>1</v>
      </c>
      <c r="EU16" s="174">
        <v>1</v>
      </c>
      <c r="EV16" s="174">
        <v>1</v>
      </c>
      <c r="EW16" s="174">
        <v>1</v>
      </c>
      <c r="EX16" s="174">
        <v>1</v>
      </c>
      <c r="EY16" s="174">
        <v>1</v>
      </c>
      <c r="EZ16" s="174">
        <v>1</v>
      </c>
      <c r="FA16" s="174">
        <v>1</v>
      </c>
      <c r="FB16" s="174">
        <v>1</v>
      </c>
      <c r="FC16" s="174">
        <v>1</v>
      </c>
      <c r="FD16" s="174">
        <v>1</v>
      </c>
      <c r="FE16" s="174">
        <v>1</v>
      </c>
      <c r="FF16" s="174">
        <v>1</v>
      </c>
      <c r="FG16" s="174">
        <v>1</v>
      </c>
      <c r="FH16" s="174">
        <v>1</v>
      </c>
      <c r="FI16" s="174">
        <v>1</v>
      </c>
      <c r="FJ16" s="174">
        <v>1</v>
      </c>
      <c r="FK16" s="174">
        <v>1</v>
      </c>
      <c r="FL16" s="174">
        <v>1</v>
      </c>
      <c r="FM16" s="174">
        <v>1</v>
      </c>
      <c r="FN16" s="174">
        <v>1</v>
      </c>
      <c r="FO16" s="174">
        <v>1</v>
      </c>
      <c r="FP16" s="174">
        <v>1</v>
      </c>
      <c r="FQ16" s="174">
        <v>1</v>
      </c>
      <c r="FR16" s="174">
        <v>1</v>
      </c>
      <c r="FS16" s="174">
        <v>1</v>
      </c>
      <c r="FT16" s="174">
        <v>1</v>
      </c>
      <c r="FU16" s="174">
        <v>1</v>
      </c>
      <c r="FV16" s="174">
        <v>1</v>
      </c>
      <c r="FW16" s="174">
        <v>1</v>
      </c>
      <c r="FX16" s="174">
        <v>1</v>
      </c>
      <c r="FY16" s="174">
        <v>1</v>
      </c>
      <c r="FZ16" s="174">
        <v>1</v>
      </c>
      <c r="GA16" s="174">
        <v>1</v>
      </c>
      <c r="GB16" s="174">
        <v>1</v>
      </c>
      <c r="GC16" s="174">
        <v>1</v>
      </c>
      <c r="GD16" s="174">
        <v>1</v>
      </c>
      <c r="GE16" s="174">
        <v>1</v>
      </c>
      <c r="GF16" s="174">
        <v>1</v>
      </c>
      <c r="GG16" s="174">
        <v>1</v>
      </c>
      <c r="GH16" s="174">
        <v>1</v>
      </c>
      <c r="GL16" s="174">
        <v>1</v>
      </c>
      <c r="GM16" s="174">
        <v>1</v>
      </c>
      <c r="GN16" s="174">
        <v>1</v>
      </c>
      <c r="GO16" s="174">
        <v>1</v>
      </c>
      <c r="GP16" s="174">
        <v>1</v>
      </c>
      <c r="GQ16" s="174">
        <v>1</v>
      </c>
      <c r="GR16" s="174">
        <v>1</v>
      </c>
      <c r="HA16" s="174">
        <v>15</v>
      </c>
      <c r="HB16" s="197">
        <v>13</v>
      </c>
      <c r="HC16" s="183">
        <v>23</v>
      </c>
      <c r="HD16" s="183">
        <v>36</v>
      </c>
      <c r="HE16" s="183">
        <v>13</v>
      </c>
      <c r="HF16" s="183">
        <v>59</v>
      </c>
      <c r="HG16" s="193" t="e">
        <f t="shared" si="3"/>
        <v>#N/A</v>
      </c>
      <c r="HH16" s="192" t="e">
        <f t="shared" si="4"/>
        <v>#N/A</v>
      </c>
      <c r="HI16" s="198">
        <v>13</v>
      </c>
      <c r="HJ16" s="185">
        <v>59</v>
      </c>
      <c r="HK16" s="174">
        <v>14</v>
      </c>
      <c r="HL16" s="174">
        <v>122</v>
      </c>
      <c r="HM16" s="174">
        <v>94</v>
      </c>
      <c r="HN16" s="174">
        <v>90</v>
      </c>
      <c r="HO16" s="174">
        <v>90</v>
      </c>
      <c r="HP16" s="174">
        <v>90</v>
      </c>
      <c r="HQ16" s="174">
        <v>86</v>
      </c>
      <c r="HR16" s="174">
        <v>82</v>
      </c>
      <c r="HS16" s="174">
        <v>84</v>
      </c>
      <c r="HT16" s="174">
        <v>80</v>
      </c>
      <c r="HU16" s="174">
        <v>80</v>
      </c>
      <c r="HV16" s="174">
        <v>76</v>
      </c>
      <c r="HW16" s="174">
        <v>76</v>
      </c>
      <c r="HX16" s="174">
        <v>72</v>
      </c>
      <c r="HY16" s="174">
        <v>72</v>
      </c>
      <c r="HZ16" s="174">
        <v>68</v>
      </c>
      <c r="IA16" s="174">
        <v>66</v>
      </c>
      <c r="IB16" s="174">
        <v>62</v>
      </c>
      <c r="IC16" s="174">
        <v>52</v>
      </c>
      <c r="ID16" s="174">
        <v>38</v>
      </c>
      <c r="IE16" s="174">
        <v>24</v>
      </c>
      <c r="IF16" s="174">
        <v>16</v>
      </c>
      <c r="II16" s="174">
        <f>Skills!K331</f>
        <v>-14.50985</v>
      </c>
      <c r="IJ16" s="174" t="str">
        <f>Skills!B331</f>
        <v>Pole Arm</v>
      </c>
      <c r="IM16" s="174">
        <v>270000</v>
      </c>
      <c r="IN16" s="174">
        <v>14</v>
      </c>
    </row>
    <row r="17" spans="1:248" ht="13.35" customHeight="1" thickBot="1" x14ac:dyDescent="0.25">
      <c r="A17" s="183">
        <f t="shared" si="1"/>
        <v>16</v>
      </c>
      <c r="B17" s="184">
        <f t="shared" si="5"/>
        <v>-3</v>
      </c>
      <c r="C17" s="183">
        <f t="shared" si="2"/>
        <v>16</v>
      </c>
      <c r="E17" s="189" t="s">
        <v>525</v>
      </c>
      <c r="F17" s="190" t="s">
        <v>1029</v>
      </c>
      <c r="G17" s="190" t="s">
        <v>1029</v>
      </c>
      <c r="H17" s="190" t="s">
        <v>1029</v>
      </c>
      <c r="I17" s="190" t="s">
        <v>1029</v>
      </c>
      <c r="J17" s="190" t="s">
        <v>1029</v>
      </c>
      <c r="K17" s="190" t="s">
        <v>1029</v>
      </c>
      <c r="L17" s="190" t="s">
        <v>1029</v>
      </c>
      <c r="M17" s="190" t="s">
        <v>1029</v>
      </c>
      <c r="N17" s="190" t="s">
        <v>1029</v>
      </c>
      <c r="O17" s="190" t="s">
        <v>1029</v>
      </c>
      <c r="P17" s="190" t="s">
        <v>1029</v>
      </c>
      <c r="Q17" s="190" t="s">
        <v>1029</v>
      </c>
      <c r="R17" s="190" t="s">
        <v>1029</v>
      </c>
      <c r="S17" s="190" t="s">
        <v>1029</v>
      </c>
      <c r="T17" s="190" t="s">
        <v>1029</v>
      </c>
      <c r="U17" s="190" t="s">
        <v>1029</v>
      </c>
      <c r="V17" s="190" t="s">
        <v>1029</v>
      </c>
      <c r="W17" s="190" t="s">
        <v>1029</v>
      </c>
      <c r="X17" s="190" t="s">
        <v>1029</v>
      </c>
      <c r="Y17" s="190" t="s">
        <v>1029</v>
      </c>
      <c r="Z17" s="190"/>
      <c r="AA17" s="190" t="s">
        <v>1029</v>
      </c>
      <c r="AB17" s="190" t="s">
        <v>1029</v>
      </c>
      <c r="AC17" s="190" t="s">
        <v>1029</v>
      </c>
      <c r="AD17" s="190" t="s">
        <v>1029</v>
      </c>
      <c r="AE17" s="190"/>
      <c r="AF17" s="190" t="s">
        <v>1029</v>
      </c>
      <c r="AG17" s="190" t="s">
        <v>1029</v>
      </c>
      <c r="AH17" s="190" t="s">
        <v>1029</v>
      </c>
      <c r="AI17" s="190"/>
      <c r="AJ17" s="190" t="s">
        <v>1029</v>
      </c>
      <c r="AK17" s="190" t="s">
        <v>1029</v>
      </c>
      <c r="AL17" s="190" t="s">
        <v>1005</v>
      </c>
      <c r="AM17" s="190" t="s">
        <v>1029</v>
      </c>
      <c r="AN17" s="190"/>
      <c r="AO17" s="190" t="s">
        <v>1029</v>
      </c>
      <c r="AP17" s="190" t="s">
        <v>1029</v>
      </c>
      <c r="AQ17" s="190" t="s">
        <v>1029</v>
      </c>
      <c r="AR17" s="190"/>
      <c r="AS17" s="190" t="s">
        <v>1029</v>
      </c>
      <c r="AT17" s="190" t="s">
        <v>1029</v>
      </c>
      <c r="AU17" s="190" t="s">
        <v>1029</v>
      </c>
      <c r="AV17" s="190" t="s">
        <v>1029</v>
      </c>
      <c r="AW17" s="190" t="s">
        <v>1029</v>
      </c>
      <c r="AX17" s="190" t="s">
        <v>1029</v>
      </c>
      <c r="AY17" s="190" t="s">
        <v>1029</v>
      </c>
      <c r="AZ17" s="190" t="s">
        <v>1029</v>
      </c>
      <c r="BA17" s="190" t="s">
        <v>1029</v>
      </c>
      <c r="BB17" s="190" t="s">
        <v>1029</v>
      </c>
      <c r="BC17" s="190" t="s">
        <v>1029</v>
      </c>
      <c r="BD17" s="190" t="s">
        <v>1029</v>
      </c>
      <c r="BE17" s="190" t="s">
        <v>1029</v>
      </c>
      <c r="BF17" s="190" t="s">
        <v>1029</v>
      </c>
      <c r="BG17" s="190" t="s">
        <v>1029</v>
      </c>
      <c r="BH17" s="190" t="s">
        <v>1029</v>
      </c>
      <c r="BI17" s="190" t="s">
        <v>1029</v>
      </c>
      <c r="BJ17" s="190" t="s">
        <v>1029</v>
      </c>
      <c r="BK17" s="190" t="s">
        <v>1029</v>
      </c>
      <c r="BL17" s="190" t="s">
        <v>1029</v>
      </c>
      <c r="BM17" s="190" t="s">
        <v>1029</v>
      </c>
      <c r="BN17" s="190" t="s">
        <v>1029</v>
      </c>
      <c r="BO17" s="190" t="s">
        <v>1029</v>
      </c>
      <c r="BP17" s="190" t="s">
        <v>1029</v>
      </c>
      <c r="BQ17" s="190" t="s">
        <v>1029</v>
      </c>
      <c r="BR17" s="190" t="s">
        <v>1029</v>
      </c>
      <c r="BS17" s="190" t="s">
        <v>1029</v>
      </c>
      <c r="BT17" s="190" t="s">
        <v>1029</v>
      </c>
      <c r="BU17" s="190" t="s">
        <v>1029</v>
      </c>
      <c r="BV17" s="190" t="s">
        <v>1029</v>
      </c>
      <c r="BW17" s="190" t="s">
        <v>1029</v>
      </c>
      <c r="BX17" s="190" t="s">
        <v>1029</v>
      </c>
      <c r="BY17" s="190" t="s">
        <v>1029</v>
      </c>
      <c r="BZ17" s="190" t="s">
        <v>1029</v>
      </c>
      <c r="CA17" s="190" t="s">
        <v>1029</v>
      </c>
      <c r="CB17" s="190" t="s">
        <v>1029</v>
      </c>
      <c r="CC17" s="190" t="s">
        <v>1029</v>
      </c>
      <c r="CD17" s="190" t="s">
        <v>1029</v>
      </c>
      <c r="CE17" s="190" t="s">
        <v>1029</v>
      </c>
      <c r="CF17" s="190" t="s">
        <v>1029</v>
      </c>
      <c r="CG17" s="190" t="s">
        <v>1029</v>
      </c>
      <c r="CH17" s="190" t="s">
        <v>1029</v>
      </c>
      <c r="CI17" s="190" t="s">
        <v>1029</v>
      </c>
      <c r="CJ17" s="190" t="s">
        <v>1029</v>
      </c>
      <c r="CK17" s="190" t="s">
        <v>1029</v>
      </c>
      <c r="CL17" s="190" t="s">
        <v>1029</v>
      </c>
      <c r="CM17" s="190" t="s">
        <v>1029</v>
      </c>
      <c r="CN17" s="190" t="s">
        <v>1029</v>
      </c>
      <c r="CO17" s="190" t="s">
        <v>1029</v>
      </c>
      <c r="CP17" s="190" t="s">
        <v>1029</v>
      </c>
      <c r="CQ17" s="190" t="s">
        <v>1029</v>
      </c>
      <c r="CR17" s="190"/>
      <c r="CS17" s="190" t="s">
        <v>1029</v>
      </c>
      <c r="CT17" s="190" t="s">
        <v>1029</v>
      </c>
      <c r="CU17" s="190" t="s">
        <v>1029</v>
      </c>
      <c r="CV17" s="190" t="s">
        <v>1029</v>
      </c>
      <c r="CW17" s="190"/>
      <c r="CX17" s="190" t="s">
        <v>1029</v>
      </c>
      <c r="CY17" s="190" t="s">
        <v>1029</v>
      </c>
      <c r="CZ17" s="190" t="s">
        <v>1029</v>
      </c>
      <c r="DA17" s="190" t="s">
        <v>1029</v>
      </c>
      <c r="DB17" s="190" t="s">
        <v>1029</v>
      </c>
      <c r="DC17" s="190" t="s">
        <v>1029</v>
      </c>
      <c r="DD17" s="190" t="s">
        <v>1029</v>
      </c>
      <c r="DE17" s="190"/>
      <c r="DF17" s="174">
        <v>16</v>
      </c>
      <c r="DH17" s="182" t="s">
        <v>936</v>
      </c>
      <c r="DI17" s="182" t="s">
        <v>943</v>
      </c>
      <c r="DJ17" s="182">
        <v>4</v>
      </c>
      <c r="DK17" s="182"/>
      <c r="DL17" s="182"/>
      <c r="DM17" s="182"/>
      <c r="DN17" s="182"/>
      <c r="DO17" s="182">
        <v>4</v>
      </c>
      <c r="DP17" s="182"/>
      <c r="DQ17" s="182">
        <v>2</v>
      </c>
      <c r="DR17" s="182"/>
      <c r="DS17" s="182"/>
      <c r="DT17" s="182"/>
      <c r="DU17" s="182"/>
      <c r="DV17" s="182"/>
      <c r="DW17" s="182">
        <v>5</v>
      </c>
      <c r="DX17" s="182">
        <v>15</v>
      </c>
      <c r="DY17" s="182">
        <v>10</v>
      </c>
      <c r="DZ17" s="182">
        <v>4</v>
      </c>
      <c r="EA17" s="182">
        <v>0.75</v>
      </c>
      <c r="EB17" s="182">
        <v>50</v>
      </c>
      <c r="ED17" s="174" t="s">
        <v>943</v>
      </c>
      <c r="EE17" s="174">
        <v>6543</v>
      </c>
      <c r="EF17" s="174">
        <v>6543</v>
      </c>
      <c r="EG17" s="174">
        <v>7654</v>
      </c>
      <c r="EH17" s="174">
        <v>6543</v>
      </c>
      <c r="EI17" s="174">
        <v>6543</v>
      </c>
      <c r="EJ17" s="174">
        <v>6543</v>
      </c>
      <c r="EK17" s="174">
        <v>6543</v>
      </c>
      <c r="EL17" s="174">
        <v>7531</v>
      </c>
      <c r="EN17" s="182" t="s">
        <v>506</v>
      </c>
      <c r="EO17" s="174">
        <v>3</v>
      </c>
      <c r="EP17" s="174">
        <v>3</v>
      </c>
      <c r="EQ17" s="174">
        <v>2</v>
      </c>
      <c r="ER17" s="174">
        <v>1</v>
      </c>
      <c r="ES17" s="174">
        <v>2</v>
      </c>
      <c r="ET17" s="174">
        <v>4</v>
      </c>
      <c r="EU17" s="174">
        <v>4</v>
      </c>
      <c r="EV17" s="174">
        <v>4</v>
      </c>
      <c r="EW17" s="174">
        <v>3</v>
      </c>
      <c r="EX17" s="174">
        <v>3</v>
      </c>
      <c r="EY17" s="174">
        <v>2</v>
      </c>
      <c r="EZ17" s="174">
        <v>2</v>
      </c>
      <c r="FA17" s="174">
        <v>3</v>
      </c>
      <c r="FB17" s="174">
        <v>3</v>
      </c>
      <c r="FC17" s="174">
        <v>1</v>
      </c>
      <c r="FD17" s="174">
        <v>1</v>
      </c>
      <c r="FE17" s="174">
        <v>1</v>
      </c>
      <c r="FF17" s="174">
        <v>1</v>
      </c>
      <c r="FG17" s="174">
        <v>2</v>
      </c>
      <c r="FH17" s="174">
        <v>3</v>
      </c>
      <c r="FI17" s="174">
        <v>1</v>
      </c>
      <c r="FJ17" s="174">
        <v>2</v>
      </c>
      <c r="FK17" s="174">
        <v>2</v>
      </c>
      <c r="FL17" s="174">
        <v>2</v>
      </c>
      <c r="FM17" s="174">
        <v>2</v>
      </c>
      <c r="FN17" s="174">
        <v>2</v>
      </c>
      <c r="FO17" s="174">
        <v>2</v>
      </c>
      <c r="FP17" s="174">
        <v>2</v>
      </c>
      <c r="FQ17" s="174">
        <v>1</v>
      </c>
      <c r="FR17" s="174">
        <v>1</v>
      </c>
      <c r="FS17" s="174">
        <v>3</v>
      </c>
      <c r="FT17" s="174">
        <v>2</v>
      </c>
      <c r="FU17" s="174">
        <v>2</v>
      </c>
      <c r="FV17" s="174">
        <v>3</v>
      </c>
      <c r="FW17" s="174">
        <v>3</v>
      </c>
      <c r="FX17" s="174">
        <v>3</v>
      </c>
      <c r="FY17" s="174">
        <v>3</v>
      </c>
      <c r="FZ17" s="174">
        <v>2</v>
      </c>
      <c r="GA17" s="174">
        <v>2</v>
      </c>
      <c r="GB17" s="174">
        <v>1</v>
      </c>
      <c r="GC17" s="174">
        <v>2</v>
      </c>
      <c r="GD17" s="174">
        <v>1</v>
      </c>
      <c r="GE17" s="174">
        <v>1</v>
      </c>
      <c r="GF17" s="174">
        <v>1</v>
      </c>
      <c r="GG17" s="174">
        <v>2</v>
      </c>
      <c r="GH17" s="174">
        <v>2</v>
      </c>
      <c r="GL17" s="174">
        <v>2</v>
      </c>
      <c r="GM17" s="174">
        <v>2</v>
      </c>
      <c r="GN17" s="174">
        <v>2</v>
      </c>
      <c r="GO17" s="174">
        <v>3</v>
      </c>
      <c r="GP17" s="174">
        <v>2</v>
      </c>
      <c r="GQ17" s="174">
        <v>1</v>
      </c>
      <c r="GR17" s="174">
        <v>2</v>
      </c>
      <c r="HA17" s="174">
        <v>16</v>
      </c>
      <c r="HB17" s="197">
        <v>14</v>
      </c>
      <c r="HC17" s="183">
        <v>24</v>
      </c>
      <c r="HD17" s="183">
        <v>38</v>
      </c>
      <c r="HE17" s="183">
        <v>14</v>
      </c>
      <c r="HF17" s="183">
        <v>62</v>
      </c>
      <c r="HG17" s="193" t="e">
        <f t="shared" si="3"/>
        <v>#N/A</v>
      </c>
      <c r="HH17" s="192" t="e">
        <f t="shared" si="4"/>
        <v>#N/A</v>
      </c>
      <c r="HI17" s="198">
        <v>14</v>
      </c>
      <c r="HJ17" s="185">
        <v>62</v>
      </c>
      <c r="HK17" s="174">
        <v>15</v>
      </c>
      <c r="HL17" s="174">
        <v>130</v>
      </c>
      <c r="HM17" s="174">
        <v>100</v>
      </c>
      <c r="HN17" s="174">
        <v>95</v>
      </c>
      <c r="HO17" s="174">
        <v>95</v>
      </c>
      <c r="HP17" s="174">
        <v>95</v>
      </c>
      <c r="HQ17" s="174">
        <v>90</v>
      </c>
      <c r="HR17" s="174">
        <v>85</v>
      </c>
      <c r="HS17" s="174">
        <v>90</v>
      </c>
      <c r="HT17" s="174">
        <v>85</v>
      </c>
      <c r="HU17" s="174">
        <v>85</v>
      </c>
      <c r="HV17" s="174">
        <v>80</v>
      </c>
      <c r="HW17" s="174">
        <v>80</v>
      </c>
      <c r="HX17" s="174">
        <v>75</v>
      </c>
      <c r="HY17" s="174">
        <v>75</v>
      </c>
      <c r="HZ17" s="174">
        <v>70</v>
      </c>
      <c r="IA17" s="174">
        <v>70</v>
      </c>
      <c r="IB17" s="174">
        <v>65</v>
      </c>
      <c r="IC17" s="174">
        <v>55</v>
      </c>
      <c r="ID17" s="174">
        <v>40</v>
      </c>
      <c r="IE17" s="174">
        <v>25</v>
      </c>
      <c r="IF17" s="174">
        <v>17</v>
      </c>
      <c r="II17" s="174">
        <f>Skills!K332</f>
        <v>-14.509840000000001</v>
      </c>
      <c r="IJ17" s="174" t="str">
        <f>Skills!B332</f>
        <v>Pole Arm</v>
      </c>
      <c r="IM17" s="174">
        <v>300000</v>
      </c>
      <c r="IN17" s="174">
        <v>15</v>
      </c>
    </row>
    <row r="18" spans="1:248" ht="13.35" customHeight="1" thickBot="1" x14ac:dyDescent="0.25">
      <c r="A18" s="183">
        <f t="shared" si="1"/>
        <v>17</v>
      </c>
      <c r="B18" s="184">
        <f t="shared" si="5"/>
        <v>-3</v>
      </c>
      <c r="C18" s="183">
        <f t="shared" si="2"/>
        <v>17</v>
      </c>
      <c r="E18" s="189" t="s">
        <v>543</v>
      </c>
      <c r="F18" s="190" t="s">
        <v>1042</v>
      </c>
      <c r="G18" s="190" t="s">
        <v>1042</v>
      </c>
      <c r="H18" s="190" t="s">
        <v>1042</v>
      </c>
      <c r="I18" s="190" t="s">
        <v>1042</v>
      </c>
      <c r="J18" s="190" t="s">
        <v>995</v>
      </c>
      <c r="K18" s="190" t="s">
        <v>991</v>
      </c>
      <c r="L18" s="190" t="s">
        <v>995</v>
      </c>
      <c r="M18" s="190" t="s">
        <v>1009</v>
      </c>
      <c r="N18" s="190" t="s">
        <v>1009</v>
      </c>
      <c r="O18" s="190" t="s">
        <v>995</v>
      </c>
      <c r="P18" s="190" t="s">
        <v>1010</v>
      </c>
      <c r="Q18" s="190" t="s">
        <v>1009</v>
      </c>
      <c r="R18" s="190" t="s">
        <v>995</v>
      </c>
      <c r="S18" s="190" t="s">
        <v>991</v>
      </c>
      <c r="T18" s="190" t="s">
        <v>1030</v>
      </c>
      <c r="U18" s="190" t="s">
        <v>1042</v>
      </c>
      <c r="V18" s="190" t="s">
        <v>987</v>
      </c>
      <c r="W18" s="190" t="s">
        <v>1004</v>
      </c>
      <c r="X18" s="190" t="s">
        <v>930</v>
      </c>
      <c r="Y18" s="190" t="s">
        <v>930</v>
      </c>
      <c r="Z18" s="190"/>
      <c r="AA18" s="190" t="s">
        <v>991</v>
      </c>
      <c r="AB18" s="190" t="s">
        <v>1009</v>
      </c>
      <c r="AC18" s="190" t="s">
        <v>930</v>
      </c>
      <c r="AD18" s="190" t="s">
        <v>1031</v>
      </c>
      <c r="AE18" s="190"/>
      <c r="AF18" s="190" t="s">
        <v>1006</v>
      </c>
      <c r="AG18" s="190" t="s">
        <v>1006</v>
      </c>
      <c r="AH18" s="190" t="s">
        <v>1005</v>
      </c>
      <c r="AI18" s="190"/>
      <c r="AJ18" s="190" t="s">
        <v>1030</v>
      </c>
      <c r="AK18" s="190" t="s">
        <v>1029</v>
      </c>
      <c r="AL18" s="190" t="s">
        <v>1010</v>
      </c>
      <c r="AM18" s="190" t="s">
        <v>1009</v>
      </c>
      <c r="AN18" s="190"/>
      <c r="AO18" s="190" t="s">
        <v>1009</v>
      </c>
      <c r="AP18" s="190" t="s">
        <v>1009</v>
      </c>
      <c r="AQ18" s="190" t="s">
        <v>1042</v>
      </c>
      <c r="AR18" s="190"/>
      <c r="AS18" s="190" t="s">
        <v>1009</v>
      </c>
      <c r="AT18" s="190" t="s">
        <v>1009</v>
      </c>
      <c r="AU18" s="190" t="s">
        <v>1009</v>
      </c>
      <c r="AV18" s="190" t="s">
        <v>1009</v>
      </c>
      <c r="AW18" s="190" t="s">
        <v>1009</v>
      </c>
      <c r="AX18" s="190" t="s">
        <v>1009</v>
      </c>
      <c r="AY18" s="190" t="s">
        <v>1009</v>
      </c>
      <c r="AZ18" s="190" t="s">
        <v>1009</v>
      </c>
      <c r="BA18" s="190" t="s">
        <v>1009</v>
      </c>
      <c r="BB18" s="190" t="s">
        <v>1009</v>
      </c>
      <c r="BC18" s="190" t="s">
        <v>1009</v>
      </c>
      <c r="BD18" s="190" t="s">
        <v>1009</v>
      </c>
      <c r="BE18" s="190" t="s">
        <v>1009</v>
      </c>
      <c r="BF18" s="190" t="s">
        <v>1009</v>
      </c>
      <c r="BG18" s="190" t="s">
        <v>1009</v>
      </c>
      <c r="BH18" s="190" t="s">
        <v>1009</v>
      </c>
      <c r="BI18" s="190" t="s">
        <v>1009</v>
      </c>
      <c r="BJ18" s="190" t="s">
        <v>1009</v>
      </c>
      <c r="BK18" s="190" t="s">
        <v>1009</v>
      </c>
      <c r="BL18" s="190" t="s">
        <v>1009</v>
      </c>
      <c r="BM18" s="190" t="s">
        <v>1009</v>
      </c>
      <c r="BN18" s="190" t="s">
        <v>1009</v>
      </c>
      <c r="BO18" s="190" t="s">
        <v>1009</v>
      </c>
      <c r="BP18" s="190" t="s">
        <v>1009</v>
      </c>
      <c r="BQ18" s="190" t="s">
        <v>1009</v>
      </c>
      <c r="BR18" s="190" t="s">
        <v>1009</v>
      </c>
      <c r="BS18" s="190" t="s">
        <v>1009</v>
      </c>
      <c r="BT18" s="190" t="s">
        <v>1009</v>
      </c>
      <c r="BU18" s="190" t="s">
        <v>1009</v>
      </c>
      <c r="BV18" s="190" t="s">
        <v>1009</v>
      </c>
      <c r="BW18" s="190" t="s">
        <v>1009</v>
      </c>
      <c r="BX18" s="190" t="s">
        <v>1009</v>
      </c>
      <c r="BY18" s="190" t="s">
        <v>1009</v>
      </c>
      <c r="BZ18" s="190" t="s">
        <v>1009</v>
      </c>
      <c r="CA18" s="190" t="s">
        <v>1009</v>
      </c>
      <c r="CB18" s="190" t="s">
        <v>1009</v>
      </c>
      <c r="CC18" s="190" t="s">
        <v>1009</v>
      </c>
      <c r="CD18" s="190" t="s">
        <v>1009</v>
      </c>
      <c r="CE18" s="190" t="s">
        <v>1009</v>
      </c>
      <c r="CF18" s="190" t="s">
        <v>1009</v>
      </c>
      <c r="CG18" s="190" t="s">
        <v>1009</v>
      </c>
      <c r="CH18" s="190" t="s">
        <v>1009</v>
      </c>
      <c r="CI18" s="190" t="s">
        <v>1009</v>
      </c>
      <c r="CJ18" s="190" t="s">
        <v>1009</v>
      </c>
      <c r="CK18" s="190" t="s">
        <v>1009</v>
      </c>
      <c r="CL18" s="190" t="s">
        <v>1009</v>
      </c>
      <c r="CM18" s="190" t="s">
        <v>1009</v>
      </c>
      <c r="CN18" s="190" t="s">
        <v>1009</v>
      </c>
      <c r="CO18" s="190" t="s">
        <v>1009</v>
      </c>
      <c r="CP18" s="190" t="s">
        <v>1009</v>
      </c>
      <c r="CQ18" s="190" t="s">
        <v>1009</v>
      </c>
      <c r="CR18" s="190"/>
      <c r="CS18" s="190" t="s">
        <v>1042</v>
      </c>
      <c r="CT18" s="190" t="s">
        <v>1042</v>
      </c>
      <c r="CU18" s="190" t="s">
        <v>1030</v>
      </c>
      <c r="CV18" s="190" t="s">
        <v>1042</v>
      </c>
      <c r="CW18" s="190"/>
      <c r="CX18" s="190" t="s">
        <v>1042</v>
      </c>
      <c r="CY18" s="190" t="s">
        <v>1009</v>
      </c>
      <c r="CZ18" s="190" t="s">
        <v>1009</v>
      </c>
      <c r="DA18" s="190" t="s">
        <v>1042</v>
      </c>
      <c r="DB18" s="190" t="s">
        <v>1009</v>
      </c>
      <c r="DC18" s="190" t="s">
        <v>1009</v>
      </c>
      <c r="DD18" s="190" t="s">
        <v>1010</v>
      </c>
      <c r="DE18" s="190"/>
      <c r="DF18" s="174">
        <v>17</v>
      </c>
      <c r="DH18" s="182" t="s">
        <v>1043</v>
      </c>
      <c r="DI18" s="182" t="s">
        <v>938</v>
      </c>
      <c r="DJ18" s="182">
        <v>2</v>
      </c>
      <c r="DK18" s="182"/>
      <c r="DL18" s="182"/>
      <c r="DM18" s="182"/>
      <c r="DN18" s="182"/>
      <c r="DO18" s="182">
        <v>2</v>
      </c>
      <c r="DP18" s="182"/>
      <c r="DQ18" s="182"/>
      <c r="DR18" s="182"/>
      <c r="DS18" s="182">
        <v>2</v>
      </c>
      <c r="DT18" s="182"/>
      <c r="DU18" s="182"/>
      <c r="DV18" s="182"/>
      <c r="DW18" s="182"/>
      <c r="DX18" s="182"/>
      <c r="DY18" s="182">
        <v>12</v>
      </c>
      <c r="DZ18" s="182">
        <v>6</v>
      </c>
      <c r="EA18" s="182">
        <v>1</v>
      </c>
      <c r="EB18" s="182">
        <v>55</v>
      </c>
      <c r="ED18" s="174" t="s">
        <v>938</v>
      </c>
      <c r="EE18" s="174">
        <v>6543</v>
      </c>
      <c r="EF18" s="174">
        <v>6543</v>
      </c>
      <c r="EG18" s="174">
        <v>7654</v>
      </c>
      <c r="EH18" s="174">
        <v>6543</v>
      </c>
      <c r="EI18" s="174">
        <v>6543</v>
      </c>
      <c r="EJ18" s="174">
        <v>6543</v>
      </c>
      <c r="EK18" s="174">
        <v>6543</v>
      </c>
      <c r="EL18" s="174">
        <v>6421</v>
      </c>
      <c r="EN18" s="182" t="s">
        <v>517</v>
      </c>
      <c r="EO18" s="174">
        <v>1</v>
      </c>
      <c r="EP18" s="174">
        <v>1</v>
      </c>
      <c r="EQ18" s="174">
        <v>1</v>
      </c>
      <c r="ER18" s="174">
        <v>3</v>
      </c>
      <c r="ES18" s="174">
        <v>3</v>
      </c>
      <c r="ET18" s="174">
        <v>2</v>
      </c>
      <c r="EU18" s="174">
        <v>2</v>
      </c>
      <c r="EV18" s="174">
        <v>2</v>
      </c>
      <c r="EW18" s="174">
        <v>1</v>
      </c>
      <c r="EX18" s="174">
        <v>1</v>
      </c>
      <c r="EY18" s="174">
        <v>3</v>
      </c>
      <c r="EZ18" s="174">
        <v>2</v>
      </c>
      <c r="FA18" s="174">
        <v>2</v>
      </c>
      <c r="FB18" s="174">
        <v>1</v>
      </c>
      <c r="FC18" s="174">
        <v>4</v>
      </c>
      <c r="FD18" s="174">
        <v>2</v>
      </c>
      <c r="FE18" s="174">
        <v>3</v>
      </c>
      <c r="FF18" s="174">
        <v>3</v>
      </c>
      <c r="FG18" s="174">
        <v>1</v>
      </c>
      <c r="FH18" s="174">
        <v>1</v>
      </c>
      <c r="FI18" s="174">
        <v>3</v>
      </c>
      <c r="FJ18" s="174">
        <v>1</v>
      </c>
      <c r="FK18" s="174">
        <v>2</v>
      </c>
      <c r="FL18" s="174">
        <v>3</v>
      </c>
      <c r="FM18" s="174">
        <v>3</v>
      </c>
      <c r="FN18" s="174">
        <v>1</v>
      </c>
      <c r="FO18" s="174">
        <v>1</v>
      </c>
      <c r="FP18" s="174">
        <v>1</v>
      </c>
      <c r="FQ18" s="174">
        <v>2</v>
      </c>
      <c r="FR18" s="174">
        <v>2</v>
      </c>
      <c r="FS18" s="174">
        <v>1</v>
      </c>
      <c r="FT18" s="174">
        <v>1</v>
      </c>
      <c r="FU18" s="174">
        <v>1</v>
      </c>
      <c r="FV18" s="174">
        <v>1</v>
      </c>
      <c r="FW18" s="174">
        <v>1</v>
      </c>
      <c r="FX18" s="174">
        <v>1</v>
      </c>
      <c r="FY18" s="174">
        <v>1</v>
      </c>
      <c r="FZ18" s="174">
        <v>1</v>
      </c>
      <c r="GA18" s="174">
        <v>1</v>
      </c>
      <c r="GB18" s="174">
        <v>2</v>
      </c>
      <c r="GC18" s="174">
        <v>1</v>
      </c>
      <c r="GD18" s="174">
        <v>2</v>
      </c>
      <c r="GE18" s="174">
        <v>2</v>
      </c>
      <c r="GF18" s="174">
        <v>2</v>
      </c>
      <c r="GG18" s="174">
        <v>1</v>
      </c>
      <c r="GH18" s="174">
        <v>1</v>
      </c>
      <c r="GL18" s="174">
        <v>1</v>
      </c>
      <c r="GM18" s="174">
        <v>1</v>
      </c>
      <c r="GQ18" s="174">
        <v>4</v>
      </c>
      <c r="GR18" s="174">
        <v>4</v>
      </c>
      <c r="HA18" s="174">
        <v>17</v>
      </c>
      <c r="HB18" s="197">
        <v>15</v>
      </c>
      <c r="HC18" s="183">
        <v>25</v>
      </c>
      <c r="HD18" s="183">
        <v>40</v>
      </c>
      <c r="HE18" s="183">
        <v>15</v>
      </c>
      <c r="HF18" s="183">
        <v>65</v>
      </c>
      <c r="HG18" s="193" t="e">
        <f t="shared" si="3"/>
        <v>#N/A</v>
      </c>
      <c r="HH18" s="192" t="e">
        <f t="shared" si="4"/>
        <v>#N/A</v>
      </c>
      <c r="HI18" s="198">
        <v>15</v>
      </c>
      <c r="HJ18" s="185">
        <v>65</v>
      </c>
      <c r="HK18" s="174">
        <v>16</v>
      </c>
      <c r="HL18" s="174">
        <v>138</v>
      </c>
      <c r="HM18" s="174">
        <v>106</v>
      </c>
      <c r="HN18" s="174">
        <v>100</v>
      </c>
      <c r="HO18" s="174">
        <v>100</v>
      </c>
      <c r="HP18" s="174">
        <v>100</v>
      </c>
      <c r="HQ18" s="174">
        <v>94</v>
      </c>
      <c r="HR18" s="174">
        <v>88</v>
      </c>
      <c r="HS18" s="174">
        <v>96</v>
      </c>
      <c r="HT18" s="174">
        <v>90</v>
      </c>
      <c r="HU18" s="174">
        <v>90</v>
      </c>
      <c r="HV18" s="174">
        <v>84</v>
      </c>
      <c r="HW18" s="174">
        <v>84</v>
      </c>
      <c r="HX18" s="174">
        <v>78</v>
      </c>
      <c r="HY18" s="174">
        <v>78</v>
      </c>
      <c r="HZ18" s="174">
        <v>72</v>
      </c>
      <c r="IA18" s="174">
        <v>74</v>
      </c>
      <c r="IB18" s="174">
        <v>68</v>
      </c>
      <c r="IC18" s="174">
        <v>58</v>
      </c>
      <c r="ID18" s="174">
        <v>42</v>
      </c>
      <c r="IE18" s="174">
        <v>26</v>
      </c>
      <c r="IF18" s="174">
        <v>18</v>
      </c>
      <c r="II18" s="174">
        <f>Skills!K334</f>
        <v>3.49017</v>
      </c>
      <c r="IJ18" s="174" t="str">
        <f>Skills!B334</f>
        <v>Thrown</v>
      </c>
      <c r="IM18" s="174">
        <v>340000</v>
      </c>
      <c r="IN18" s="174">
        <v>16</v>
      </c>
    </row>
    <row r="19" spans="1:248" ht="13.35" customHeight="1" thickBot="1" x14ac:dyDescent="0.25">
      <c r="A19" s="183">
        <f t="shared" si="1"/>
        <v>18</v>
      </c>
      <c r="B19" s="184">
        <f t="shared" si="5"/>
        <v>-3</v>
      </c>
      <c r="C19" s="183">
        <f t="shared" si="2"/>
        <v>18</v>
      </c>
      <c r="E19" s="189" t="s">
        <v>546</v>
      </c>
      <c r="F19" s="190" t="s">
        <v>1010</v>
      </c>
      <c r="G19" s="190" t="s">
        <v>991</v>
      </c>
      <c r="H19" s="190" t="s">
        <v>991</v>
      </c>
      <c r="I19" s="190" t="s">
        <v>1010</v>
      </c>
      <c r="J19" s="190" t="s">
        <v>991</v>
      </c>
      <c r="K19" s="190" t="s">
        <v>995</v>
      </c>
      <c r="L19" s="190" t="s">
        <v>991</v>
      </c>
      <c r="M19" s="190" t="s">
        <v>992</v>
      </c>
      <c r="N19" s="190" t="s">
        <v>995</v>
      </c>
      <c r="O19" s="190" t="s">
        <v>995</v>
      </c>
      <c r="P19" s="190" t="s">
        <v>995</v>
      </c>
      <c r="Q19" s="190" t="s">
        <v>995</v>
      </c>
      <c r="R19" s="190" t="s">
        <v>994</v>
      </c>
      <c r="S19" s="190" t="s">
        <v>995</v>
      </c>
      <c r="T19" s="190" t="s">
        <v>995</v>
      </c>
      <c r="U19" s="190" t="s">
        <v>993</v>
      </c>
      <c r="V19" s="190" t="s">
        <v>995</v>
      </c>
      <c r="W19" s="190" t="s">
        <v>995</v>
      </c>
      <c r="X19" s="190" t="s">
        <v>994</v>
      </c>
      <c r="Y19" s="190" t="s">
        <v>993</v>
      </c>
      <c r="Z19" s="190"/>
      <c r="AA19" s="190" t="s">
        <v>991</v>
      </c>
      <c r="AB19" s="190" t="s">
        <v>991</v>
      </c>
      <c r="AC19" s="190" t="s">
        <v>995</v>
      </c>
      <c r="AD19" s="190" t="s">
        <v>992</v>
      </c>
      <c r="AE19" s="190"/>
      <c r="AF19" s="190" t="s">
        <v>995</v>
      </c>
      <c r="AG19" s="190" t="s">
        <v>995</v>
      </c>
      <c r="AH19" s="190" t="s">
        <v>995</v>
      </c>
      <c r="AI19" s="190"/>
      <c r="AJ19" s="190" t="s">
        <v>993</v>
      </c>
      <c r="AK19" s="190" t="s">
        <v>994</v>
      </c>
      <c r="AL19" s="190" t="s">
        <v>995</v>
      </c>
      <c r="AM19" s="190" t="s">
        <v>992</v>
      </c>
      <c r="AN19" s="190"/>
      <c r="AO19" s="190" t="s">
        <v>995</v>
      </c>
      <c r="AP19" s="190" t="s">
        <v>994</v>
      </c>
      <c r="AQ19" s="190" t="s">
        <v>994</v>
      </c>
      <c r="AR19" s="190"/>
      <c r="AS19" s="190" t="s">
        <v>992</v>
      </c>
      <c r="AT19" s="190" t="s">
        <v>992</v>
      </c>
      <c r="AU19" s="190" t="s">
        <v>992</v>
      </c>
      <c r="AV19" s="190" t="s">
        <v>992</v>
      </c>
      <c r="AW19" s="190" t="s">
        <v>992</v>
      </c>
      <c r="AX19" s="190" t="s">
        <v>992</v>
      </c>
      <c r="AY19" s="190" t="s">
        <v>992</v>
      </c>
      <c r="AZ19" s="190" t="s">
        <v>992</v>
      </c>
      <c r="BA19" s="190" t="s">
        <v>992</v>
      </c>
      <c r="BB19" s="190" t="s">
        <v>992</v>
      </c>
      <c r="BC19" s="190" t="s">
        <v>992</v>
      </c>
      <c r="BD19" s="190" t="s">
        <v>992</v>
      </c>
      <c r="BE19" s="190" t="s">
        <v>992</v>
      </c>
      <c r="BF19" s="190" t="s">
        <v>992</v>
      </c>
      <c r="BG19" s="190" t="s">
        <v>992</v>
      </c>
      <c r="BH19" s="190" t="s">
        <v>992</v>
      </c>
      <c r="BI19" s="190" t="s">
        <v>992</v>
      </c>
      <c r="BJ19" s="190" t="s">
        <v>992</v>
      </c>
      <c r="BK19" s="190" t="s">
        <v>992</v>
      </c>
      <c r="BL19" s="190" t="s">
        <v>992</v>
      </c>
      <c r="BM19" s="190" t="s">
        <v>992</v>
      </c>
      <c r="BN19" s="190" t="s">
        <v>992</v>
      </c>
      <c r="BO19" s="190" t="s">
        <v>992</v>
      </c>
      <c r="BP19" s="190" t="s">
        <v>992</v>
      </c>
      <c r="BQ19" s="190" t="s">
        <v>992</v>
      </c>
      <c r="BR19" s="190" t="s">
        <v>992</v>
      </c>
      <c r="BS19" s="190" t="s">
        <v>992</v>
      </c>
      <c r="BT19" s="190" t="s">
        <v>992</v>
      </c>
      <c r="BU19" s="190" t="s">
        <v>992</v>
      </c>
      <c r="BV19" s="190" t="s">
        <v>992</v>
      </c>
      <c r="BW19" s="190" t="s">
        <v>992</v>
      </c>
      <c r="BX19" s="190" t="s">
        <v>992</v>
      </c>
      <c r="BY19" s="190" t="s">
        <v>992</v>
      </c>
      <c r="BZ19" s="190" t="s">
        <v>992</v>
      </c>
      <c r="CA19" s="190" t="s">
        <v>992</v>
      </c>
      <c r="CB19" s="190" t="s">
        <v>992</v>
      </c>
      <c r="CC19" s="190" t="s">
        <v>992</v>
      </c>
      <c r="CD19" s="190" t="s">
        <v>992</v>
      </c>
      <c r="CE19" s="190" t="s">
        <v>992</v>
      </c>
      <c r="CF19" s="190" t="s">
        <v>992</v>
      </c>
      <c r="CG19" s="190" t="s">
        <v>992</v>
      </c>
      <c r="CH19" s="190" t="s">
        <v>992</v>
      </c>
      <c r="CI19" s="190" t="s">
        <v>992</v>
      </c>
      <c r="CJ19" s="190" t="s">
        <v>992</v>
      </c>
      <c r="CK19" s="190" t="s">
        <v>992</v>
      </c>
      <c r="CL19" s="190" t="s">
        <v>992</v>
      </c>
      <c r="CM19" s="190" t="s">
        <v>992</v>
      </c>
      <c r="CN19" s="190" t="s">
        <v>992</v>
      </c>
      <c r="CO19" s="190" t="s">
        <v>992</v>
      </c>
      <c r="CP19" s="190" t="s">
        <v>992</v>
      </c>
      <c r="CQ19" s="190" t="s">
        <v>992</v>
      </c>
      <c r="CR19" s="190"/>
      <c r="CS19" s="190" t="s">
        <v>1010</v>
      </c>
      <c r="CT19" s="190" t="s">
        <v>995</v>
      </c>
      <c r="CU19" s="190" t="s">
        <v>995</v>
      </c>
      <c r="CV19" s="190" t="s">
        <v>991</v>
      </c>
      <c r="CW19" s="190"/>
      <c r="CX19" s="190" t="s">
        <v>995</v>
      </c>
      <c r="CY19" s="190" t="s">
        <v>992</v>
      </c>
      <c r="CZ19" s="190" t="s">
        <v>995</v>
      </c>
      <c r="DA19" s="190" t="s">
        <v>1010</v>
      </c>
      <c r="DB19" s="190" t="s">
        <v>995</v>
      </c>
      <c r="DC19" s="190" t="s">
        <v>995</v>
      </c>
      <c r="DD19" s="190" t="s">
        <v>995</v>
      </c>
      <c r="DE19" s="190"/>
      <c r="DF19" s="174">
        <v>18</v>
      </c>
      <c r="DH19" s="182" t="s">
        <v>895</v>
      </c>
      <c r="DI19" s="182" t="s">
        <v>895</v>
      </c>
      <c r="DJ19" s="182">
        <v>4</v>
      </c>
      <c r="DK19" s="182"/>
      <c r="DL19" s="182">
        <v>4</v>
      </c>
      <c r="DM19" s="182"/>
      <c r="DN19" s="182"/>
      <c r="DO19" s="182">
        <v>4</v>
      </c>
      <c r="DP19" s="182">
        <v>-2</v>
      </c>
      <c r="DQ19" s="182">
        <v>-2</v>
      </c>
      <c r="DR19" s="182">
        <v>-4</v>
      </c>
      <c r="DS19" s="182"/>
      <c r="DT19" s="182">
        <v>40</v>
      </c>
      <c r="DU19" s="182"/>
      <c r="DV19" s="182">
        <v>40</v>
      </c>
      <c r="DW19" s="182">
        <v>20</v>
      </c>
      <c r="DX19" s="182">
        <v>15</v>
      </c>
      <c r="DY19" s="182">
        <v>21</v>
      </c>
      <c r="DZ19" s="182">
        <v>4</v>
      </c>
      <c r="EA19" s="182">
        <v>0.5</v>
      </c>
      <c r="EB19" s="182">
        <f>DZ19*10</f>
        <v>40</v>
      </c>
      <c r="ED19" s="174" t="s">
        <v>895</v>
      </c>
      <c r="EE19" s="174">
        <v>3211</v>
      </c>
      <c r="EF19" s="174">
        <v>6543</v>
      </c>
      <c r="EG19" s="174">
        <v>3211</v>
      </c>
      <c r="EH19" s="174">
        <v>4322</v>
      </c>
      <c r="EI19" s="174">
        <v>2111</v>
      </c>
      <c r="EJ19" s="174">
        <v>4322</v>
      </c>
      <c r="EK19" s="174">
        <v>3221</v>
      </c>
      <c r="EL19" s="174">
        <v>7421</v>
      </c>
      <c r="EN19" s="174" t="s">
        <v>173</v>
      </c>
      <c r="EO19" s="174">
        <v>8</v>
      </c>
      <c r="EP19" s="174">
        <v>4</v>
      </c>
      <c r="EQ19" s="174">
        <v>8</v>
      </c>
      <c r="ER19" s="174">
        <v>10</v>
      </c>
      <c r="ES19" s="174">
        <v>12</v>
      </c>
      <c r="ET19" s="174">
        <v>10</v>
      </c>
      <c r="EU19" s="174">
        <v>10</v>
      </c>
      <c r="EV19" s="174">
        <v>12</v>
      </c>
      <c r="EW19" s="174">
        <v>10</v>
      </c>
      <c r="EX19" s="174">
        <v>10</v>
      </c>
      <c r="EY19" s="174">
        <v>12</v>
      </c>
      <c r="EZ19" s="174">
        <v>10</v>
      </c>
      <c r="FA19" s="174">
        <v>10</v>
      </c>
      <c r="FB19" s="174">
        <v>8</v>
      </c>
      <c r="FC19" s="174">
        <v>20</v>
      </c>
      <c r="FD19" s="174">
        <v>12</v>
      </c>
      <c r="FE19" s="174">
        <v>16</v>
      </c>
      <c r="FF19" s="174">
        <v>8</v>
      </c>
      <c r="FG19" s="174">
        <v>8</v>
      </c>
      <c r="FH19" s="174">
        <v>8</v>
      </c>
      <c r="FI19" s="174">
        <v>10</v>
      </c>
      <c r="FJ19" s="174">
        <v>8</v>
      </c>
      <c r="FK19" s="174">
        <v>8</v>
      </c>
      <c r="FL19" s="174">
        <v>10</v>
      </c>
      <c r="FM19" s="174">
        <v>10</v>
      </c>
      <c r="FN19" s="174">
        <v>10</v>
      </c>
      <c r="FO19" s="174">
        <v>4</v>
      </c>
      <c r="FP19" s="174">
        <v>6</v>
      </c>
      <c r="FQ19" s="174">
        <v>10</v>
      </c>
      <c r="FR19" s="174">
        <v>10</v>
      </c>
      <c r="FS19" s="174">
        <v>6</v>
      </c>
      <c r="FT19" s="174">
        <v>6</v>
      </c>
      <c r="FU19" s="174">
        <v>6</v>
      </c>
      <c r="FV19" s="174">
        <v>4</v>
      </c>
      <c r="FW19" s="174">
        <v>4</v>
      </c>
      <c r="FX19" s="174">
        <v>4</v>
      </c>
      <c r="FY19" s="174">
        <v>4</v>
      </c>
      <c r="FZ19" s="174">
        <v>8</v>
      </c>
      <c r="GA19" s="174">
        <v>4</v>
      </c>
      <c r="GB19" s="174">
        <v>10</v>
      </c>
      <c r="GC19" s="174">
        <v>4</v>
      </c>
      <c r="GD19" s="174">
        <v>10</v>
      </c>
      <c r="GE19" s="174">
        <v>10</v>
      </c>
      <c r="GF19" s="174">
        <v>8</v>
      </c>
      <c r="GG19" s="174">
        <v>4</v>
      </c>
      <c r="GH19" s="174">
        <v>4</v>
      </c>
      <c r="GL19" s="174">
        <v>4</v>
      </c>
      <c r="GM19" s="174">
        <v>2</v>
      </c>
      <c r="GN19" s="174">
        <v>4</v>
      </c>
      <c r="GO19" s="174">
        <v>4</v>
      </c>
      <c r="GP19" s="174">
        <v>4</v>
      </c>
      <c r="GQ19" s="174">
        <v>6</v>
      </c>
      <c r="GR19" s="174">
        <v>10</v>
      </c>
      <c r="HA19" s="174">
        <v>18</v>
      </c>
      <c r="HB19" s="197">
        <v>16</v>
      </c>
      <c r="HC19" s="183">
        <v>26</v>
      </c>
      <c r="HD19" s="183">
        <v>42</v>
      </c>
      <c r="HE19" s="183">
        <v>16</v>
      </c>
      <c r="HF19" s="183">
        <v>68</v>
      </c>
      <c r="HG19" s="193" t="e">
        <f t="shared" si="3"/>
        <v>#N/A</v>
      </c>
      <c r="HH19" s="192" t="e">
        <f t="shared" si="4"/>
        <v>#N/A</v>
      </c>
      <c r="HI19" s="198">
        <v>16</v>
      </c>
      <c r="HJ19" s="185">
        <v>68</v>
      </c>
      <c r="HK19" s="174">
        <v>17</v>
      </c>
      <c r="HL19" s="174">
        <v>146</v>
      </c>
      <c r="HM19" s="174">
        <v>112</v>
      </c>
      <c r="HN19" s="174">
        <v>105</v>
      </c>
      <c r="HO19" s="174">
        <v>105</v>
      </c>
      <c r="HP19" s="174">
        <v>105</v>
      </c>
      <c r="HQ19" s="174">
        <v>98</v>
      </c>
      <c r="HR19" s="174">
        <v>91</v>
      </c>
      <c r="HS19" s="174">
        <v>102</v>
      </c>
      <c r="HT19" s="174">
        <v>95</v>
      </c>
      <c r="HU19" s="174">
        <v>95</v>
      </c>
      <c r="HV19" s="174">
        <v>88</v>
      </c>
      <c r="HW19" s="174">
        <v>88</v>
      </c>
      <c r="HX19" s="174">
        <v>81</v>
      </c>
      <c r="HY19" s="174">
        <v>81</v>
      </c>
      <c r="HZ19" s="174">
        <v>74</v>
      </c>
      <c r="IA19" s="174">
        <v>78</v>
      </c>
      <c r="IB19" s="174">
        <v>71</v>
      </c>
      <c r="IC19" s="174">
        <v>61</v>
      </c>
      <c r="ID19" s="174">
        <v>44</v>
      </c>
      <c r="IE19" s="174">
        <v>27</v>
      </c>
      <c r="IF19" s="174">
        <v>19</v>
      </c>
      <c r="II19" s="174">
        <f>Skills!K335</f>
        <v>3.4901800000000001</v>
      </c>
      <c r="IJ19" s="174" t="str">
        <f>Skills!B335</f>
        <v>Thrown</v>
      </c>
      <c r="IM19" s="174">
        <v>380000</v>
      </c>
      <c r="IN19" s="174">
        <v>17</v>
      </c>
    </row>
    <row r="20" spans="1:248" ht="13.35" customHeight="1" thickBot="1" x14ac:dyDescent="0.25">
      <c r="A20" s="183">
        <f t="shared" si="1"/>
        <v>19</v>
      </c>
      <c r="B20" s="184">
        <f t="shared" si="5"/>
        <v>-3</v>
      </c>
      <c r="C20" s="183">
        <f t="shared" si="2"/>
        <v>19</v>
      </c>
      <c r="E20" s="189" t="s">
        <v>556</v>
      </c>
      <c r="F20" s="190" t="s">
        <v>999</v>
      </c>
      <c r="G20" s="190" t="s">
        <v>999</v>
      </c>
      <c r="H20" s="190" t="s">
        <v>999</v>
      </c>
      <c r="I20" s="190" t="s">
        <v>999</v>
      </c>
      <c r="J20" s="190" t="s">
        <v>999</v>
      </c>
      <c r="K20" s="190" t="s">
        <v>999</v>
      </c>
      <c r="L20" s="190" t="s">
        <v>999</v>
      </c>
      <c r="M20" s="190" t="s">
        <v>999</v>
      </c>
      <c r="N20" s="190" t="s">
        <v>999</v>
      </c>
      <c r="O20" s="190" t="s">
        <v>999</v>
      </c>
      <c r="P20" s="190" t="s">
        <v>999</v>
      </c>
      <c r="Q20" s="190" t="s">
        <v>999</v>
      </c>
      <c r="R20" s="190" t="s">
        <v>999</v>
      </c>
      <c r="S20" s="190" t="s">
        <v>999</v>
      </c>
      <c r="T20" s="190" t="s">
        <v>999</v>
      </c>
      <c r="U20" s="190" t="s">
        <v>999</v>
      </c>
      <c r="V20" s="190" t="s">
        <v>999</v>
      </c>
      <c r="W20" s="190" t="s">
        <v>999</v>
      </c>
      <c r="X20" s="190" t="s">
        <v>996</v>
      </c>
      <c r="Y20" s="190" t="s">
        <v>999</v>
      </c>
      <c r="Z20" s="190"/>
      <c r="AA20" s="190" t="s">
        <v>999</v>
      </c>
      <c r="AB20" s="190" t="s">
        <v>999</v>
      </c>
      <c r="AC20" s="190" t="s">
        <v>999</v>
      </c>
      <c r="AD20" s="190" t="s">
        <v>999</v>
      </c>
      <c r="AE20" s="190"/>
      <c r="AF20" s="190" t="s">
        <v>999</v>
      </c>
      <c r="AG20" s="190" t="s">
        <v>999</v>
      </c>
      <c r="AH20" s="190" t="s">
        <v>999</v>
      </c>
      <c r="AI20" s="190"/>
      <c r="AJ20" s="190" t="s">
        <v>999</v>
      </c>
      <c r="AK20" s="190" t="s">
        <v>999</v>
      </c>
      <c r="AL20" s="190" t="s">
        <v>996</v>
      </c>
      <c r="AM20" s="190" t="s">
        <v>999</v>
      </c>
      <c r="AN20" s="190"/>
      <c r="AO20" s="190" t="s">
        <v>999</v>
      </c>
      <c r="AP20" s="190" t="s">
        <v>999</v>
      </c>
      <c r="AQ20" s="190" t="s">
        <v>999</v>
      </c>
      <c r="AR20" s="190"/>
      <c r="AS20" s="190" t="s">
        <v>999</v>
      </c>
      <c r="AT20" s="190" t="s">
        <v>999</v>
      </c>
      <c r="AU20" s="190" t="s">
        <v>999</v>
      </c>
      <c r="AV20" s="190" t="s">
        <v>999</v>
      </c>
      <c r="AW20" s="190" t="s">
        <v>999</v>
      </c>
      <c r="AX20" s="190" t="s">
        <v>999</v>
      </c>
      <c r="AY20" s="190" t="s">
        <v>999</v>
      </c>
      <c r="AZ20" s="190" t="s">
        <v>999</v>
      </c>
      <c r="BA20" s="190" t="s">
        <v>999</v>
      </c>
      <c r="BB20" s="190" t="s">
        <v>999</v>
      </c>
      <c r="BC20" s="190" t="s">
        <v>999</v>
      </c>
      <c r="BD20" s="190" t="s">
        <v>999</v>
      </c>
      <c r="BE20" s="190" t="s">
        <v>999</v>
      </c>
      <c r="BF20" s="190" t="s">
        <v>999</v>
      </c>
      <c r="BG20" s="190" t="s">
        <v>999</v>
      </c>
      <c r="BH20" s="190" t="s">
        <v>999</v>
      </c>
      <c r="BI20" s="190" t="s">
        <v>999</v>
      </c>
      <c r="BJ20" s="190" t="s">
        <v>999</v>
      </c>
      <c r="BK20" s="190" t="s">
        <v>999</v>
      </c>
      <c r="BL20" s="190" t="s">
        <v>999</v>
      </c>
      <c r="BM20" s="190" t="s">
        <v>999</v>
      </c>
      <c r="BN20" s="190" t="s">
        <v>999</v>
      </c>
      <c r="BO20" s="190" t="s">
        <v>999</v>
      </c>
      <c r="BP20" s="190" t="s">
        <v>999</v>
      </c>
      <c r="BQ20" s="190" t="s">
        <v>999</v>
      </c>
      <c r="BR20" s="190" t="s">
        <v>999</v>
      </c>
      <c r="BS20" s="190" t="s">
        <v>999</v>
      </c>
      <c r="BT20" s="190" t="s">
        <v>999</v>
      </c>
      <c r="BU20" s="190" t="s">
        <v>999</v>
      </c>
      <c r="BV20" s="190" t="s">
        <v>999</v>
      </c>
      <c r="BW20" s="190" t="s">
        <v>999</v>
      </c>
      <c r="BX20" s="190" t="s">
        <v>999</v>
      </c>
      <c r="BY20" s="190" t="s">
        <v>999</v>
      </c>
      <c r="BZ20" s="190" t="s">
        <v>999</v>
      </c>
      <c r="CA20" s="190" t="s">
        <v>999</v>
      </c>
      <c r="CB20" s="190" t="s">
        <v>999</v>
      </c>
      <c r="CC20" s="190" t="s">
        <v>999</v>
      </c>
      <c r="CD20" s="190" t="s">
        <v>999</v>
      </c>
      <c r="CE20" s="190" t="s">
        <v>999</v>
      </c>
      <c r="CF20" s="190" t="s">
        <v>999</v>
      </c>
      <c r="CG20" s="190" t="s">
        <v>999</v>
      </c>
      <c r="CH20" s="190" t="s">
        <v>999</v>
      </c>
      <c r="CI20" s="190" t="s">
        <v>999</v>
      </c>
      <c r="CJ20" s="190" t="s">
        <v>999</v>
      </c>
      <c r="CK20" s="190" t="s">
        <v>999</v>
      </c>
      <c r="CL20" s="190" t="s">
        <v>999</v>
      </c>
      <c r="CM20" s="190" t="s">
        <v>999</v>
      </c>
      <c r="CN20" s="190" t="s">
        <v>999</v>
      </c>
      <c r="CO20" s="190" t="s">
        <v>999</v>
      </c>
      <c r="CP20" s="190" t="s">
        <v>999</v>
      </c>
      <c r="CQ20" s="190" t="s">
        <v>999</v>
      </c>
      <c r="CR20" s="190"/>
      <c r="CS20" s="190" t="s">
        <v>999</v>
      </c>
      <c r="CT20" s="190" t="s">
        <v>999</v>
      </c>
      <c r="CU20" s="190" t="s">
        <v>996</v>
      </c>
      <c r="CV20" s="190" t="s">
        <v>999</v>
      </c>
      <c r="CW20" s="190"/>
      <c r="CX20" s="190" t="s">
        <v>999</v>
      </c>
      <c r="CY20" s="190" t="s">
        <v>999</v>
      </c>
      <c r="CZ20" s="190" t="s">
        <v>999</v>
      </c>
      <c r="DA20" s="190" t="s">
        <v>999</v>
      </c>
      <c r="DB20" s="190" t="s">
        <v>999</v>
      </c>
      <c r="DC20" s="190" t="s">
        <v>999</v>
      </c>
      <c r="DD20" s="190" t="s">
        <v>999</v>
      </c>
      <c r="DE20" s="190"/>
      <c r="DF20" s="174">
        <v>19</v>
      </c>
      <c r="DH20" s="182" t="s">
        <v>907</v>
      </c>
      <c r="DI20" s="182" t="s">
        <v>969</v>
      </c>
      <c r="DJ20" s="182"/>
      <c r="DK20" s="182"/>
      <c r="DL20" s="182">
        <v>2</v>
      </c>
      <c r="DM20" s="182"/>
      <c r="DN20" s="182"/>
      <c r="DO20" s="182">
        <v>2</v>
      </c>
      <c r="DP20" s="182"/>
      <c r="DQ20" s="182">
        <v>-2</v>
      </c>
      <c r="DR20" s="182">
        <v>2</v>
      </c>
      <c r="DS20" s="182"/>
      <c r="DT20" s="182"/>
      <c r="DU20" s="182"/>
      <c r="DV20" s="182"/>
      <c r="DW20" s="182"/>
      <c r="DX20" s="182"/>
      <c r="DY20" s="182">
        <v>12</v>
      </c>
      <c r="DZ20" s="182">
        <v>6</v>
      </c>
      <c r="EA20" s="182">
        <v>1</v>
      </c>
      <c r="EB20" s="182">
        <v>50</v>
      </c>
      <c r="ED20" s="174" t="s">
        <v>969</v>
      </c>
      <c r="EE20" s="174">
        <v>6543</v>
      </c>
      <c r="EF20" s="174">
        <v>6543</v>
      </c>
      <c r="EG20" s="174">
        <v>7654</v>
      </c>
      <c r="EH20" s="174">
        <v>6543</v>
      </c>
      <c r="EI20" s="174">
        <v>6543</v>
      </c>
      <c r="EJ20" s="174">
        <v>6543</v>
      </c>
      <c r="EK20" s="174">
        <v>6543</v>
      </c>
      <c r="EL20" s="174">
        <v>7521</v>
      </c>
      <c r="EN20" s="182" t="s">
        <v>1044</v>
      </c>
      <c r="EO20" s="174">
        <v>3</v>
      </c>
      <c r="EP20" s="174">
        <v>3</v>
      </c>
      <c r="EQ20" s="174">
        <v>3</v>
      </c>
      <c r="ER20" s="174">
        <v>3</v>
      </c>
      <c r="ES20" s="174">
        <v>3</v>
      </c>
      <c r="ET20" s="174">
        <v>2</v>
      </c>
      <c r="EU20" s="174">
        <v>2</v>
      </c>
      <c r="EV20" s="174">
        <v>3</v>
      </c>
      <c r="EW20" s="174">
        <v>3</v>
      </c>
      <c r="EX20" s="174">
        <v>3</v>
      </c>
      <c r="EY20" s="174">
        <v>4</v>
      </c>
      <c r="EZ20" s="174">
        <v>3</v>
      </c>
      <c r="FA20" s="174">
        <v>3</v>
      </c>
      <c r="FB20" s="174">
        <v>3</v>
      </c>
      <c r="FC20" s="174">
        <v>3</v>
      </c>
      <c r="FD20" s="174">
        <v>3</v>
      </c>
      <c r="FE20" s="174">
        <v>3</v>
      </c>
      <c r="FF20" s="174">
        <v>3</v>
      </c>
      <c r="FG20" s="174">
        <v>3</v>
      </c>
      <c r="FH20" s="174">
        <v>3</v>
      </c>
      <c r="FI20" s="174">
        <v>3</v>
      </c>
      <c r="FJ20" s="174">
        <v>3</v>
      </c>
      <c r="FK20" s="174">
        <v>3</v>
      </c>
      <c r="FL20" s="174">
        <v>3</v>
      </c>
      <c r="FM20" s="174">
        <v>3</v>
      </c>
      <c r="FN20" s="174">
        <v>3</v>
      </c>
      <c r="FO20" s="174">
        <v>3</v>
      </c>
      <c r="FP20" s="174">
        <v>3</v>
      </c>
      <c r="FQ20" s="174">
        <v>3</v>
      </c>
      <c r="FR20" s="174">
        <v>3</v>
      </c>
      <c r="FS20" s="174">
        <v>2</v>
      </c>
      <c r="FT20" s="174">
        <v>2</v>
      </c>
      <c r="FU20" s="174">
        <v>2</v>
      </c>
      <c r="FV20" s="174">
        <v>3</v>
      </c>
      <c r="FW20" s="174">
        <v>3</v>
      </c>
      <c r="FX20" s="174">
        <v>3</v>
      </c>
      <c r="FY20" s="174">
        <v>3</v>
      </c>
      <c r="FZ20" s="174">
        <v>3</v>
      </c>
      <c r="GA20" s="174">
        <v>3</v>
      </c>
      <c r="GB20" s="174">
        <v>3</v>
      </c>
      <c r="GC20" s="174">
        <v>3</v>
      </c>
      <c r="GD20" s="174">
        <v>3</v>
      </c>
      <c r="GE20" s="174">
        <v>3</v>
      </c>
      <c r="GF20" s="174">
        <v>3</v>
      </c>
      <c r="GG20" s="174">
        <v>3</v>
      </c>
      <c r="GH20" s="174">
        <v>3</v>
      </c>
      <c r="GL20" s="174">
        <v>3</v>
      </c>
      <c r="GM20" s="174">
        <v>3</v>
      </c>
      <c r="GN20" s="174">
        <v>1</v>
      </c>
      <c r="GO20" s="174">
        <v>1</v>
      </c>
      <c r="GP20" s="174">
        <v>2</v>
      </c>
      <c r="GQ20" s="174">
        <v>3</v>
      </c>
      <c r="GR20" s="174">
        <v>3</v>
      </c>
      <c r="HA20" s="174">
        <v>19</v>
      </c>
      <c r="HB20" s="197">
        <v>17</v>
      </c>
      <c r="HC20" s="183">
        <v>27</v>
      </c>
      <c r="HD20" s="183">
        <v>44</v>
      </c>
      <c r="HE20" s="183">
        <v>17</v>
      </c>
      <c r="HF20" s="183">
        <v>71</v>
      </c>
      <c r="HG20" s="193" t="e">
        <f t="shared" si="3"/>
        <v>#N/A</v>
      </c>
      <c r="HH20" s="192" t="e">
        <f t="shared" si="4"/>
        <v>#N/A</v>
      </c>
      <c r="HI20" s="198">
        <v>17</v>
      </c>
      <c r="HJ20" s="185">
        <v>71</v>
      </c>
      <c r="HK20" s="174">
        <v>18</v>
      </c>
      <c r="HL20" s="174">
        <v>154</v>
      </c>
      <c r="HM20" s="174">
        <v>118</v>
      </c>
      <c r="HN20" s="174">
        <v>110</v>
      </c>
      <c r="HO20" s="174">
        <v>110</v>
      </c>
      <c r="HP20" s="174">
        <v>110</v>
      </c>
      <c r="HQ20" s="174">
        <v>102</v>
      </c>
      <c r="HR20" s="174">
        <v>94</v>
      </c>
      <c r="HS20" s="174">
        <v>108</v>
      </c>
      <c r="HT20" s="174">
        <v>100</v>
      </c>
      <c r="HU20" s="174">
        <v>100</v>
      </c>
      <c r="HV20" s="174">
        <v>92</v>
      </c>
      <c r="HW20" s="174">
        <v>92</v>
      </c>
      <c r="HX20" s="174">
        <v>84</v>
      </c>
      <c r="HY20" s="174">
        <v>84</v>
      </c>
      <c r="HZ20" s="174">
        <v>76</v>
      </c>
      <c r="IA20" s="174">
        <v>82</v>
      </c>
      <c r="IB20" s="174">
        <v>74</v>
      </c>
      <c r="IC20" s="174">
        <v>64</v>
      </c>
      <c r="ID20" s="174">
        <v>46</v>
      </c>
      <c r="IE20" s="174">
        <v>28</v>
      </c>
      <c r="IF20" s="174">
        <v>20</v>
      </c>
      <c r="II20" s="174">
        <f>Skills!K336</f>
        <v>3.4901900000000001</v>
      </c>
      <c r="IJ20" s="174" t="str">
        <f>Skills!B336</f>
        <v>Thrown</v>
      </c>
      <c r="IM20" s="174">
        <v>420000</v>
      </c>
      <c r="IN20" s="174">
        <v>18</v>
      </c>
    </row>
    <row r="21" spans="1:248" ht="13.35" customHeight="1" thickBot="1" x14ac:dyDescent="0.25">
      <c r="A21" s="183">
        <f t="shared" si="1"/>
        <v>20</v>
      </c>
      <c r="B21" s="184">
        <f t="shared" si="5"/>
        <v>-3</v>
      </c>
      <c r="C21" s="183">
        <f t="shared" si="2"/>
        <v>20</v>
      </c>
      <c r="E21" s="189" t="s">
        <v>569</v>
      </c>
      <c r="F21" s="190" t="s">
        <v>1002</v>
      </c>
      <c r="G21" s="190" t="s">
        <v>1004</v>
      </c>
      <c r="H21" s="190" t="s">
        <v>1005</v>
      </c>
      <c r="I21" s="190" t="s">
        <v>1002</v>
      </c>
      <c r="J21" s="190" t="s">
        <v>1009</v>
      </c>
      <c r="K21" s="190" t="s">
        <v>994</v>
      </c>
      <c r="L21" s="190" t="s">
        <v>994</v>
      </c>
      <c r="M21" s="190" t="s">
        <v>992</v>
      </c>
      <c r="N21" s="190" t="s">
        <v>991</v>
      </c>
      <c r="O21" s="190" t="s">
        <v>992</v>
      </c>
      <c r="P21" s="190" t="s">
        <v>991</v>
      </c>
      <c r="Q21" s="190" t="s">
        <v>991</v>
      </c>
      <c r="R21" s="190" t="s">
        <v>991</v>
      </c>
      <c r="S21" s="190" t="s">
        <v>991</v>
      </c>
      <c r="T21" s="190" t="s">
        <v>995</v>
      </c>
      <c r="U21" s="190" t="s">
        <v>995</v>
      </c>
      <c r="V21" s="190" t="s">
        <v>1001</v>
      </c>
      <c r="W21" s="190" t="s">
        <v>995</v>
      </c>
      <c r="X21" s="190" t="s">
        <v>994</v>
      </c>
      <c r="Y21" s="190" t="s">
        <v>1001</v>
      </c>
      <c r="Z21" s="190"/>
      <c r="AA21" s="190" t="s">
        <v>994</v>
      </c>
      <c r="AB21" s="190" t="s">
        <v>994</v>
      </c>
      <c r="AC21" s="190" t="s">
        <v>1010</v>
      </c>
      <c r="AD21" s="190" t="s">
        <v>992</v>
      </c>
      <c r="AE21" s="190"/>
      <c r="AF21" s="190" t="s">
        <v>999</v>
      </c>
      <c r="AG21" s="190" t="s">
        <v>994</v>
      </c>
      <c r="AH21" s="190" t="s">
        <v>995</v>
      </c>
      <c r="AI21" s="190"/>
      <c r="AJ21" s="190" t="s">
        <v>1007</v>
      </c>
      <c r="AK21" s="190" t="s">
        <v>991</v>
      </c>
      <c r="AL21" s="190" t="s">
        <v>993</v>
      </c>
      <c r="AM21" s="190" t="s">
        <v>991</v>
      </c>
      <c r="AN21" s="190"/>
      <c r="AO21" s="190" t="s">
        <v>992</v>
      </c>
      <c r="AP21" s="190" t="s">
        <v>991</v>
      </c>
      <c r="AQ21" s="190" t="s">
        <v>1001</v>
      </c>
      <c r="AR21" s="190"/>
      <c r="AS21" s="190" t="s">
        <v>992</v>
      </c>
      <c r="AT21" s="190" t="s">
        <v>992</v>
      </c>
      <c r="AU21" s="190" t="s">
        <v>992</v>
      </c>
      <c r="AV21" s="190" t="s">
        <v>992</v>
      </c>
      <c r="AW21" s="190" t="s">
        <v>992</v>
      </c>
      <c r="AX21" s="190" t="s">
        <v>992</v>
      </c>
      <c r="AY21" s="190" t="s">
        <v>992</v>
      </c>
      <c r="AZ21" s="190" t="s">
        <v>992</v>
      </c>
      <c r="BA21" s="190" t="s">
        <v>992</v>
      </c>
      <c r="BB21" s="190" t="s">
        <v>992</v>
      </c>
      <c r="BC21" s="190" t="s">
        <v>992</v>
      </c>
      <c r="BD21" s="190" t="s">
        <v>992</v>
      </c>
      <c r="BE21" s="190" t="s">
        <v>992</v>
      </c>
      <c r="BF21" s="190" t="s">
        <v>992</v>
      </c>
      <c r="BG21" s="190" t="s">
        <v>992</v>
      </c>
      <c r="BH21" s="190" t="s">
        <v>992</v>
      </c>
      <c r="BI21" s="190" t="s">
        <v>992</v>
      </c>
      <c r="BJ21" s="190" t="s">
        <v>992</v>
      </c>
      <c r="BK21" s="190" t="s">
        <v>992</v>
      </c>
      <c r="BL21" s="190" t="s">
        <v>992</v>
      </c>
      <c r="BM21" s="190" t="s">
        <v>992</v>
      </c>
      <c r="BN21" s="190" t="s">
        <v>992</v>
      </c>
      <c r="BO21" s="190" t="s">
        <v>992</v>
      </c>
      <c r="BP21" s="190" t="s">
        <v>992</v>
      </c>
      <c r="BQ21" s="190" t="s">
        <v>992</v>
      </c>
      <c r="BR21" s="190" t="s">
        <v>992</v>
      </c>
      <c r="BS21" s="190" t="s">
        <v>992</v>
      </c>
      <c r="BT21" s="190" t="s">
        <v>992</v>
      </c>
      <c r="BU21" s="190" t="s">
        <v>992</v>
      </c>
      <c r="BV21" s="190" t="s">
        <v>992</v>
      </c>
      <c r="BW21" s="190" t="s">
        <v>992</v>
      </c>
      <c r="BX21" s="190" t="s">
        <v>992</v>
      </c>
      <c r="BY21" s="190" t="s">
        <v>992</v>
      </c>
      <c r="BZ21" s="190" t="s">
        <v>992</v>
      </c>
      <c r="CA21" s="190" t="s">
        <v>992</v>
      </c>
      <c r="CB21" s="190" t="s">
        <v>992</v>
      </c>
      <c r="CC21" s="190" t="s">
        <v>992</v>
      </c>
      <c r="CD21" s="190" t="s">
        <v>992</v>
      </c>
      <c r="CE21" s="190" t="s">
        <v>992</v>
      </c>
      <c r="CF21" s="190" t="s">
        <v>992</v>
      </c>
      <c r="CG21" s="190" t="s">
        <v>992</v>
      </c>
      <c r="CH21" s="190" t="s">
        <v>992</v>
      </c>
      <c r="CI21" s="190" t="s">
        <v>992</v>
      </c>
      <c r="CJ21" s="190" t="s">
        <v>992</v>
      </c>
      <c r="CK21" s="190" t="s">
        <v>992</v>
      </c>
      <c r="CL21" s="190" t="s">
        <v>992</v>
      </c>
      <c r="CM21" s="190" t="s">
        <v>992</v>
      </c>
      <c r="CN21" s="190" t="s">
        <v>992</v>
      </c>
      <c r="CO21" s="190" t="s">
        <v>992</v>
      </c>
      <c r="CP21" s="190" t="s">
        <v>992</v>
      </c>
      <c r="CQ21" s="190" t="s">
        <v>992</v>
      </c>
      <c r="CR21" s="190"/>
      <c r="CS21" s="190" t="s">
        <v>1002</v>
      </c>
      <c r="CT21" s="190" t="s">
        <v>1005</v>
      </c>
      <c r="CU21" s="190" t="s">
        <v>991</v>
      </c>
      <c r="CV21" s="190" t="s">
        <v>1005</v>
      </c>
      <c r="CW21" s="190"/>
      <c r="CX21" s="190" t="s">
        <v>1001</v>
      </c>
      <c r="CY21" s="190" t="s">
        <v>992</v>
      </c>
      <c r="CZ21" s="190" t="s">
        <v>991</v>
      </c>
      <c r="DA21" s="190" t="s">
        <v>1002</v>
      </c>
      <c r="DB21" s="190" t="s">
        <v>994</v>
      </c>
      <c r="DC21" s="190" t="s">
        <v>992</v>
      </c>
      <c r="DD21" s="190" t="s">
        <v>992</v>
      </c>
      <c r="DE21" s="190"/>
      <c r="DF21" s="174">
        <v>20</v>
      </c>
      <c r="DH21" s="182" t="s">
        <v>900</v>
      </c>
      <c r="DI21" s="182" t="s">
        <v>1045</v>
      </c>
      <c r="DJ21" s="182">
        <v>2</v>
      </c>
      <c r="DK21" s="182"/>
      <c r="DL21" s="182">
        <v>2</v>
      </c>
      <c r="DM21" s="182"/>
      <c r="DN21" s="182"/>
      <c r="DO21" s="182">
        <v>2</v>
      </c>
      <c r="DP21" s="182"/>
      <c r="DQ21" s="182">
        <v>2</v>
      </c>
      <c r="DR21" s="182"/>
      <c r="DS21" s="182"/>
      <c r="DT21" s="182"/>
      <c r="DU21" s="182"/>
      <c r="DV21" s="182"/>
      <c r="DW21" s="182"/>
      <c r="DX21" s="182"/>
      <c r="DY21" s="182">
        <v>11</v>
      </c>
      <c r="DZ21" s="182">
        <v>5</v>
      </c>
      <c r="EA21" s="182">
        <v>0.9</v>
      </c>
      <c r="EB21" s="182">
        <v>45</v>
      </c>
      <c r="ED21" s="174" t="s">
        <v>949</v>
      </c>
      <c r="EE21" s="174">
        <v>6543</v>
      </c>
      <c r="EF21" s="174">
        <v>6543</v>
      </c>
      <c r="EG21" s="174">
        <v>7654</v>
      </c>
      <c r="EH21" s="174">
        <v>6543</v>
      </c>
      <c r="EI21" s="174">
        <v>6543</v>
      </c>
      <c r="EJ21" s="174">
        <v>6543</v>
      </c>
      <c r="EK21" s="174">
        <v>6543</v>
      </c>
      <c r="EL21" s="174">
        <v>7521</v>
      </c>
      <c r="EN21" s="174" t="s">
        <v>1046</v>
      </c>
      <c r="EO21" s="174">
        <v>3</v>
      </c>
      <c r="EP21" s="174">
        <v>3</v>
      </c>
      <c r="EQ21" s="174">
        <v>3</v>
      </c>
      <c r="ER21" s="174">
        <v>3</v>
      </c>
      <c r="ES21" s="174">
        <v>3</v>
      </c>
      <c r="ET21" s="174">
        <v>2</v>
      </c>
      <c r="EU21" s="174">
        <v>2</v>
      </c>
      <c r="EV21" s="174">
        <v>3</v>
      </c>
      <c r="EW21" s="174">
        <v>3</v>
      </c>
      <c r="EX21" s="174">
        <v>3</v>
      </c>
      <c r="EY21" s="174">
        <v>3</v>
      </c>
      <c r="EZ21" s="174">
        <v>3</v>
      </c>
      <c r="FA21" s="174">
        <v>3</v>
      </c>
      <c r="FB21" s="174">
        <v>3</v>
      </c>
      <c r="FC21" s="174">
        <v>3</v>
      </c>
      <c r="FD21" s="174">
        <v>3</v>
      </c>
      <c r="FE21" s="174">
        <v>3</v>
      </c>
      <c r="FF21" s="174">
        <v>3</v>
      </c>
      <c r="FG21" s="174">
        <v>3</v>
      </c>
      <c r="FH21" s="174">
        <v>3</v>
      </c>
      <c r="FI21" s="174">
        <v>3</v>
      </c>
      <c r="FJ21" s="174">
        <v>3</v>
      </c>
      <c r="FK21" s="174">
        <v>3</v>
      </c>
      <c r="FL21" s="174">
        <v>3</v>
      </c>
      <c r="FM21" s="174">
        <v>3</v>
      </c>
      <c r="FN21" s="174">
        <v>3</v>
      </c>
      <c r="FO21" s="174">
        <v>3</v>
      </c>
      <c r="FP21" s="174">
        <v>3</v>
      </c>
      <c r="FQ21" s="174">
        <v>3</v>
      </c>
      <c r="FR21" s="174">
        <v>3</v>
      </c>
      <c r="FS21" s="174">
        <v>3</v>
      </c>
      <c r="FT21" s="174">
        <v>3</v>
      </c>
      <c r="FU21" s="174">
        <v>3</v>
      </c>
      <c r="FV21" s="174">
        <v>3</v>
      </c>
      <c r="FW21" s="174">
        <v>3</v>
      </c>
      <c r="FX21" s="174">
        <v>3</v>
      </c>
      <c r="FY21" s="174">
        <v>3</v>
      </c>
      <c r="FZ21" s="174">
        <v>3</v>
      </c>
      <c r="GA21" s="174">
        <v>3</v>
      </c>
      <c r="GB21" s="174">
        <v>3</v>
      </c>
      <c r="GC21" s="174">
        <v>3</v>
      </c>
      <c r="GD21" s="174">
        <v>3</v>
      </c>
      <c r="GE21" s="174">
        <v>3</v>
      </c>
      <c r="GF21" s="174">
        <v>3</v>
      </c>
      <c r="GG21" s="174">
        <v>3</v>
      </c>
      <c r="GH21" s="174">
        <v>3</v>
      </c>
      <c r="GL21" s="174">
        <v>3</v>
      </c>
      <c r="GM21" s="174">
        <v>5</v>
      </c>
      <c r="GN21" s="174">
        <v>3</v>
      </c>
      <c r="GO21" s="174">
        <v>3</v>
      </c>
      <c r="GP21" s="174">
        <v>3</v>
      </c>
      <c r="GQ21" s="174">
        <v>3</v>
      </c>
      <c r="GR21" s="174">
        <v>3</v>
      </c>
      <c r="HA21" s="174">
        <v>20</v>
      </c>
      <c r="HB21" s="197">
        <v>18</v>
      </c>
      <c r="HC21" s="183">
        <v>28</v>
      </c>
      <c r="HD21" s="183">
        <v>46</v>
      </c>
      <c r="HE21" s="183">
        <v>18</v>
      </c>
      <c r="HF21" s="183">
        <v>74</v>
      </c>
      <c r="HG21" s="193" t="e">
        <f t="shared" si="3"/>
        <v>#N/A</v>
      </c>
      <c r="HH21" s="192" t="e">
        <f t="shared" si="4"/>
        <v>#N/A</v>
      </c>
      <c r="HI21" s="198">
        <v>18</v>
      </c>
      <c r="HJ21" s="185">
        <v>74</v>
      </c>
      <c r="HK21" s="174">
        <v>19</v>
      </c>
      <c r="HL21" s="174">
        <v>162</v>
      </c>
      <c r="HM21" s="174">
        <v>124</v>
      </c>
      <c r="HN21" s="174">
        <v>115</v>
      </c>
      <c r="HO21" s="174">
        <v>115</v>
      </c>
      <c r="HP21" s="174">
        <v>115</v>
      </c>
      <c r="HQ21" s="174">
        <v>106</v>
      </c>
      <c r="HR21" s="174">
        <v>97</v>
      </c>
      <c r="HS21" s="174">
        <v>114</v>
      </c>
      <c r="HT21" s="174">
        <v>105</v>
      </c>
      <c r="HU21" s="174">
        <v>105</v>
      </c>
      <c r="HV21" s="174">
        <v>96</v>
      </c>
      <c r="HW21" s="174">
        <v>96</v>
      </c>
      <c r="HX21" s="174">
        <v>87</v>
      </c>
      <c r="HY21" s="174">
        <v>87</v>
      </c>
      <c r="HZ21" s="174">
        <v>78</v>
      </c>
      <c r="IA21" s="174">
        <v>86</v>
      </c>
      <c r="IB21" s="174">
        <v>77</v>
      </c>
      <c r="IC21" s="174">
        <v>67</v>
      </c>
      <c r="ID21" s="174">
        <v>48</v>
      </c>
      <c r="IE21" s="174">
        <v>29</v>
      </c>
      <c r="IF21" s="174">
        <v>21</v>
      </c>
      <c r="II21" s="174">
        <f>Skills!K130</f>
        <v>-3.01</v>
      </c>
      <c r="IJ21" s="174" t="str">
        <f>Skills!B130</f>
        <v>Directed Spell (per spell)</v>
      </c>
      <c r="IM21" s="174">
        <v>460000</v>
      </c>
      <c r="IN21" s="174">
        <v>19</v>
      </c>
    </row>
    <row r="22" spans="1:248" ht="13.35" customHeight="1" thickBot="1" x14ac:dyDescent="0.25">
      <c r="A22" s="183">
        <f t="shared" si="1"/>
        <v>21</v>
      </c>
      <c r="B22" s="184">
        <f t="shared" si="5"/>
        <v>-2</v>
      </c>
      <c r="C22" s="183">
        <f t="shared" si="2"/>
        <v>21</v>
      </c>
      <c r="E22" s="189" t="s">
        <v>574</v>
      </c>
      <c r="F22" s="190" t="s">
        <v>1006</v>
      </c>
      <c r="G22" s="190" t="s">
        <v>1006</v>
      </c>
      <c r="H22" s="190" t="s">
        <v>1010</v>
      </c>
      <c r="I22" s="190" t="s">
        <v>1010</v>
      </c>
      <c r="J22" s="190" t="s">
        <v>1006</v>
      </c>
      <c r="K22" s="190" t="s">
        <v>1006</v>
      </c>
      <c r="L22" s="190" t="s">
        <v>1006</v>
      </c>
      <c r="M22" s="190" t="s">
        <v>1006</v>
      </c>
      <c r="N22" s="190" t="s">
        <v>1006</v>
      </c>
      <c r="O22" s="190" t="s">
        <v>1006</v>
      </c>
      <c r="P22" s="190" t="s">
        <v>1006</v>
      </c>
      <c r="Q22" s="190" t="s">
        <v>1006</v>
      </c>
      <c r="R22" s="190" t="s">
        <v>1006</v>
      </c>
      <c r="S22" s="190" t="s">
        <v>1006</v>
      </c>
      <c r="T22" s="190" t="s">
        <v>1006</v>
      </c>
      <c r="U22" s="190" t="s">
        <v>1006</v>
      </c>
      <c r="V22" s="190" t="s">
        <v>1006</v>
      </c>
      <c r="W22" s="190" t="s">
        <v>1006</v>
      </c>
      <c r="X22" s="190" t="s">
        <v>992</v>
      </c>
      <c r="Y22" s="190" t="s">
        <v>1006</v>
      </c>
      <c r="Z22" s="190"/>
      <c r="AA22" s="190" t="s">
        <v>1001</v>
      </c>
      <c r="AB22" s="190" t="s">
        <v>1001</v>
      </c>
      <c r="AC22" s="190" t="s">
        <v>1006</v>
      </c>
      <c r="AD22" s="190" t="s">
        <v>1006</v>
      </c>
      <c r="AE22" s="190"/>
      <c r="AF22" s="190" t="s">
        <v>1006</v>
      </c>
      <c r="AG22" s="190" t="s">
        <v>1047</v>
      </c>
      <c r="AH22" s="190" t="s">
        <v>1006</v>
      </c>
      <c r="AI22" s="190"/>
      <c r="AJ22" s="190" t="s">
        <v>1007</v>
      </c>
      <c r="AK22" s="190" t="s">
        <v>1006</v>
      </c>
      <c r="AL22" s="190" t="s">
        <v>991</v>
      </c>
      <c r="AM22" s="190" t="s">
        <v>1010</v>
      </c>
      <c r="AN22" s="190"/>
      <c r="AO22" s="190" t="s">
        <v>1047</v>
      </c>
      <c r="AP22" s="190" t="s">
        <v>1006</v>
      </c>
      <c r="AQ22" s="190" t="s">
        <v>1006</v>
      </c>
      <c r="AR22" s="190"/>
      <c r="AS22" s="190" t="s">
        <v>991</v>
      </c>
      <c r="AT22" s="190" t="s">
        <v>991</v>
      </c>
      <c r="AU22" s="190" t="s">
        <v>991</v>
      </c>
      <c r="AV22" s="190" t="s">
        <v>991</v>
      </c>
      <c r="AW22" s="190" t="s">
        <v>991</v>
      </c>
      <c r="AX22" s="190" t="s">
        <v>991</v>
      </c>
      <c r="AY22" s="190" t="s">
        <v>991</v>
      </c>
      <c r="AZ22" s="190" t="s">
        <v>991</v>
      </c>
      <c r="BA22" s="190" t="s">
        <v>991</v>
      </c>
      <c r="BB22" s="190" t="s">
        <v>991</v>
      </c>
      <c r="BC22" s="190" t="s">
        <v>991</v>
      </c>
      <c r="BD22" s="190" t="s">
        <v>991</v>
      </c>
      <c r="BE22" s="190" t="s">
        <v>991</v>
      </c>
      <c r="BF22" s="190" t="s">
        <v>991</v>
      </c>
      <c r="BG22" s="190" t="s">
        <v>991</v>
      </c>
      <c r="BH22" s="190" t="s">
        <v>991</v>
      </c>
      <c r="BI22" s="190" t="s">
        <v>991</v>
      </c>
      <c r="BJ22" s="190" t="s">
        <v>991</v>
      </c>
      <c r="BK22" s="190" t="s">
        <v>991</v>
      </c>
      <c r="BL22" s="190" t="s">
        <v>991</v>
      </c>
      <c r="BM22" s="190" t="s">
        <v>991</v>
      </c>
      <c r="BN22" s="190" t="s">
        <v>991</v>
      </c>
      <c r="BO22" s="190" t="s">
        <v>991</v>
      </c>
      <c r="BP22" s="190" t="s">
        <v>991</v>
      </c>
      <c r="BQ22" s="190" t="s">
        <v>991</v>
      </c>
      <c r="BR22" s="190" t="s">
        <v>991</v>
      </c>
      <c r="BS22" s="190" t="s">
        <v>991</v>
      </c>
      <c r="BT22" s="190" t="s">
        <v>991</v>
      </c>
      <c r="BU22" s="190" t="s">
        <v>991</v>
      </c>
      <c r="BV22" s="190" t="s">
        <v>991</v>
      </c>
      <c r="BW22" s="190" t="s">
        <v>991</v>
      </c>
      <c r="BX22" s="190" t="s">
        <v>991</v>
      </c>
      <c r="BY22" s="190" t="s">
        <v>991</v>
      </c>
      <c r="BZ22" s="190" t="s">
        <v>991</v>
      </c>
      <c r="CA22" s="190" t="s">
        <v>991</v>
      </c>
      <c r="CB22" s="190" t="s">
        <v>991</v>
      </c>
      <c r="CC22" s="190" t="s">
        <v>991</v>
      </c>
      <c r="CD22" s="190" t="s">
        <v>991</v>
      </c>
      <c r="CE22" s="190" t="s">
        <v>991</v>
      </c>
      <c r="CF22" s="190" t="s">
        <v>991</v>
      </c>
      <c r="CG22" s="190" t="s">
        <v>991</v>
      </c>
      <c r="CH22" s="190" t="s">
        <v>991</v>
      </c>
      <c r="CI22" s="190" t="s">
        <v>991</v>
      </c>
      <c r="CJ22" s="190" t="s">
        <v>991</v>
      </c>
      <c r="CK22" s="190" t="s">
        <v>991</v>
      </c>
      <c r="CL22" s="190" t="s">
        <v>991</v>
      </c>
      <c r="CM22" s="190" t="s">
        <v>991</v>
      </c>
      <c r="CN22" s="190" t="s">
        <v>991</v>
      </c>
      <c r="CO22" s="190" t="s">
        <v>991</v>
      </c>
      <c r="CP22" s="190" t="s">
        <v>991</v>
      </c>
      <c r="CQ22" s="190" t="s">
        <v>991</v>
      </c>
      <c r="CR22" s="190"/>
      <c r="CS22" s="190" t="s">
        <v>1006</v>
      </c>
      <c r="CT22" s="190" t="s">
        <v>1006</v>
      </c>
      <c r="CU22" s="190" t="s">
        <v>992</v>
      </c>
      <c r="CV22" s="190" t="s">
        <v>1010</v>
      </c>
      <c r="CW22" s="190"/>
      <c r="CX22" s="190" t="s">
        <v>1006</v>
      </c>
      <c r="CY22" s="190" t="s">
        <v>1006</v>
      </c>
      <c r="CZ22" s="190" t="s">
        <v>1006</v>
      </c>
      <c r="DA22" s="190" t="s">
        <v>1006</v>
      </c>
      <c r="DB22" s="190" t="s">
        <v>1006</v>
      </c>
      <c r="DC22" s="190" t="s">
        <v>1006</v>
      </c>
      <c r="DD22" s="190" t="s">
        <v>1006</v>
      </c>
      <c r="DE22" s="190"/>
      <c r="DF22" s="174">
        <v>21</v>
      </c>
      <c r="DH22" s="174" t="s">
        <v>900</v>
      </c>
      <c r="DI22" s="174" t="s">
        <v>957</v>
      </c>
      <c r="DJ22" s="174">
        <v>2</v>
      </c>
      <c r="DL22" s="174">
        <v>2</v>
      </c>
      <c r="DO22" s="174">
        <v>2</v>
      </c>
      <c r="DQ22" s="174">
        <v>2</v>
      </c>
      <c r="DY22" s="174">
        <v>11</v>
      </c>
      <c r="DZ22" s="174">
        <v>5</v>
      </c>
      <c r="EA22" s="174">
        <v>0.9</v>
      </c>
      <c r="EB22" s="174">
        <f>DZ22*10</f>
        <v>50</v>
      </c>
      <c r="ED22" s="174" t="s">
        <v>957</v>
      </c>
      <c r="EE22" s="174">
        <v>6543</v>
      </c>
      <c r="EF22" s="174">
        <v>6543</v>
      </c>
      <c r="EG22" s="174">
        <v>7654</v>
      </c>
      <c r="EH22" s="174">
        <v>6543</v>
      </c>
      <c r="EI22" s="174">
        <v>6543</v>
      </c>
      <c r="EJ22" s="174">
        <v>6543</v>
      </c>
      <c r="EK22" s="174">
        <v>6543</v>
      </c>
      <c r="EL22" s="174">
        <v>7521</v>
      </c>
      <c r="EN22" s="174" t="s">
        <v>1048</v>
      </c>
      <c r="EO22" s="174">
        <v>3</v>
      </c>
      <c r="EP22" s="174">
        <v>3</v>
      </c>
      <c r="EQ22" s="174">
        <v>3</v>
      </c>
      <c r="ER22" s="174">
        <v>3</v>
      </c>
      <c r="ES22" s="174">
        <v>3</v>
      </c>
      <c r="ET22" s="174">
        <v>2</v>
      </c>
      <c r="EU22" s="174">
        <v>2</v>
      </c>
      <c r="EV22" s="174">
        <v>3</v>
      </c>
      <c r="EW22" s="174">
        <v>3</v>
      </c>
      <c r="EX22" s="174">
        <v>3</v>
      </c>
      <c r="EY22" s="174">
        <v>3</v>
      </c>
      <c r="EZ22" s="174">
        <v>3</v>
      </c>
      <c r="FA22" s="174">
        <v>3</v>
      </c>
      <c r="FB22" s="174">
        <v>3</v>
      </c>
      <c r="FC22" s="174">
        <v>3</v>
      </c>
      <c r="FD22" s="174">
        <v>3</v>
      </c>
      <c r="FE22" s="174">
        <v>3</v>
      </c>
      <c r="FF22" s="174">
        <v>3</v>
      </c>
      <c r="FG22" s="174">
        <v>3</v>
      </c>
      <c r="FH22" s="174">
        <v>3</v>
      </c>
      <c r="FI22" s="174">
        <v>3</v>
      </c>
      <c r="FJ22" s="174">
        <v>3</v>
      </c>
      <c r="FK22" s="174">
        <v>3</v>
      </c>
      <c r="FL22" s="174">
        <v>3</v>
      </c>
      <c r="FM22" s="174">
        <v>3</v>
      </c>
      <c r="FN22" s="174">
        <v>3</v>
      </c>
      <c r="FO22" s="174">
        <v>3</v>
      </c>
      <c r="FP22" s="174">
        <v>3</v>
      </c>
      <c r="FQ22" s="174">
        <v>3</v>
      </c>
      <c r="FR22" s="174">
        <v>3</v>
      </c>
      <c r="FS22" s="174">
        <v>3</v>
      </c>
      <c r="FT22" s="174">
        <v>3</v>
      </c>
      <c r="FU22" s="174">
        <v>3</v>
      </c>
      <c r="FV22" s="174">
        <v>3</v>
      </c>
      <c r="FW22" s="174">
        <v>3</v>
      </c>
      <c r="FX22" s="174">
        <v>3</v>
      </c>
      <c r="FY22" s="174">
        <v>3</v>
      </c>
      <c r="FZ22" s="174">
        <v>3</v>
      </c>
      <c r="GA22" s="174">
        <v>3</v>
      </c>
      <c r="GB22" s="174">
        <v>3</v>
      </c>
      <c r="GC22" s="174">
        <v>3</v>
      </c>
      <c r="GD22" s="174">
        <v>3</v>
      </c>
      <c r="GE22" s="174">
        <v>3</v>
      </c>
      <c r="GF22" s="174">
        <v>3</v>
      </c>
      <c r="GG22" s="174">
        <v>3</v>
      </c>
      <c r="GH22" s="174">
        <v>3</v>
      </c>
      <c r="GL22" s="174">
        <v>3</v>
      </c>
      <c r="GM22" s="174">
        <v>3</v>
      </c>
      <c r="GN22" s="174">
        <v>3</v>
      </c>
      <c r="GO22" s="174">
        <v>3</v>
      </c>
      <c r="GP22" s="174">
        <v>3</v>
      </c>
      <c r="GQ22" s="174">
        <v>3</v>
      </c>
      <c r="GR22" s="174">
        <v>3</v>
      </c>
      <c r="HA22" s="174">
        <v>21</v>
      </c>
      <c r="HB22" s="197">
        <v>19</v>
      </c>
      <c r="HC22" s="183">
        <v>29</v>
      </c>
      <c r="HD22" s="183">
        <v>48</v>
      </c>
      <c r="HE22" s="183">
        <v>19</v>
      </c>
      <c r="HF22" s="183">
        <v>77</v>
      </c>
      <c r="HG22" s="193" t="e">
        <f t="shared" si="3"/>
        <v>#N/A</v>
      </c>
      <c r="HH22" s="192" t="e">
        <f t="shared" si="4"/>
        <v>#N/A</v>
      </c>
      <c r="HI22" s="198">
        <v>19</v>
      </c>
      <c r="HJ22" s="185">
        <v>77</v>
      </c>
      <c r="HK22" s="182">
        <v>20</v>
      </c>
      <c r="HL22" s="182">
        <v>170</v>
      </c>
      <c r="HM22" s="182">
        <v>130</v>
      </c>
      <c r="HN22" s="182">
        <v>120</v>
      </c>
      <c r="HO22" s="182">
        <v>120</v>
      </c>
      <c r="HP22" s="182">
        <v>120</v>
      </c>
      <c r="HQ22" s="182">
        <v>110</v>
      </c>
      <c r="HR22" s="182">
        <v>100</v>
      </c>
      <c r="HS22" s="182">
        <v>120</v>
      </c>
      <c r="HT22" s="182">
        <v>110</v>
      </c>
      <c r="HU22" s="182">
        <v>110</v>
      </c>
      <c r="HV22" s="182">
        <v>100</v>
      </c>
      <c r="HW22" s="182">
        <v>100</v>
      </c>
      <c r="HX22" s="182">
        <v>90</v>
      </c>
      <c r="HY22" s="182">
        <v>90</v>
      </c>
      <c r="HZ22" s="182">
        <v>80</v>
      </c>
      <c r="IA22" s="174">
        <v>90</v>
      </c>
      <c r="IB22" s="182">
        <v>80</v>
      </c>
      <c r="IC22" s="182">
        <v>70</v>
      </c>
      <c r="ID22" s="182">
        <v>50</v>
      </c>
      <c r="IE22" s="182">
        <v>30</v>
      </c>
      <c r="IF22" s="182">
        <v>22</v>
      </c>
      <c r="II22" s="174">
        <f>Skills!K131</f>
        <v>-3.01</v>
      </c>
      <c r="IJ22" s="174" t="str">
        <f>Skills!B131</f>
        <v>Directed Spell (per spell)</v>
      </c>
      <c r="IM22" s="174">
        <v>500000</v>
      </c>
      <c r="IN22" s="174">
        <v>20</v>
      </c>
    </row>
    <row r="23" spans="1:248" ht="13.35" customHeight="1" thickBot="1" x14ac:dyDescent="0.25">
      <c r="A23" s="183">
        <f t="shared" si="1"/>
        <v>22</v>
      </c>
      <c r="B23" s="184">
        <f t="shared" si="5"/>
        <v>-2</v>
      </c>
      <c r="C23" s="183">
        <f t="shared" si="2"/>
        <v>22</v>
      </c>
      <c r="E23" s="189" t="s">
        <v>579</v>
      </c>
      <c r="F23" s="190" t="s">
        <v>995</v>
      </c>
      <c r="G23" s="190" t="s">
        <v>992</v>
      </c>
      <c r="H23" s="190" t="s">
        <v>991</v>
      </c>
      <c r="I23" s="190" t="s">
        <v>995</v>
      </c>
      <c r="J23" s="190" t="s">
        <v>995</v>
      </c>
      <c r="K23" s="190" t="s">
        <v>995</v>
      </c>
      <c r="L23" s="190" t="s">
        <v>995</v>
      </c>
      <c r="M23" s="190" t="s">
        <v>995</v>
      </c>
      <c r="N23" s="190" t="s">
        <v>995</v>
      </c>
      <c r="O23" s="190" t="s">
        <v>995</v>
      </c>
      <c r="P23" s="190" t="s">
        <v>995</v>
      </c>
      <c r="Q23" s="190" t="s">
        <v>995</v>
      </c>
      <c r="R23" s="190" t="s">
        <v>995</v>
      </c>
      <c r="S23" s="190" t="s">
        <v>995</v>
      </c>
      <c r="T23" s="190" t="s">
        <v>995</v>
      </c>
      <c r="U23" s="190" t="s">
        <v>995</v>
      </c>
      <c r="V23" s="190" t="s">
        <v>995</v>
      </c>
      <c r="W23" s="190" t="s">
        <v>991</v>
      </c>
      <c r="X23" s="190" t="s">
        <v>992</v>
      </c>
      <c r="Y23" s="190" t="s">
        <v>991</v>
      </c>
      <c r="Z23" s="190"/>
      <c r="AA23" s="190" t="s">
        <v>995</v>
      </c>
      <c r="AB23" s="190" t="s">
        <v>995</v>
      </c>
      <c r="AC23" s="190" t="s">
        <v>995</v>
      </c>
      <c r="AD23" s="190" t="s">
        <v>995</v>
      </c>
      <c r="AE23" s="190"/>
      <c r="AF23" s="190" t="s">
        <v>995</v>
      </c>
      <c r="AG23" s="190" t="s">
        <v>995</v>
      </c>
      <c r="AH23" s="190" t="s">
        <v>995</v>
      </c>
      <c r="AI23" s="190"/>
      <c r="AJ23" s="190" t="s">
        <v>995</v>
      </c>
      <c r="AK23" s="190" t="s">
        <v>1010</v>
      </c>
      <c r="AL23" s="190" t="s">
        <v>992</v>
      </c>
      <c r="AM23" s="190" t="s">
        <v>995</v>
      </c>
      <c r="AN23" s="190"/>
      <c r="AO23" s="190" t="s">
        <v>995</v>
      </c>
      <c r="AP23" s="190" t="s">
        <v>995</v>
      </c>
      <c r="AQ23" s="190" t="s">
        <v>995</v>
      </c>
      <c r="AR23" s="190"/>
      <c r="AS23" s="190" t="s">
        <v>995</v>
      </c>
      <c r="AT23" s="190" t="s">
        <v>995</v>
      </c>
      <c r="AU23" s="190" t="s">
        <v>995</v>
      </c>
      <c r="AV23" s="190" t="s">
        <v>995</v>
      </c>
      <c r="AW23" s="190" t="s">
        <v>995</v>
      </c>
      <c r="AX23" s="190" t="s">
        <v>995</v>
      </c>
      <c r="AY23" s="190" t="s">
        <v>995</v>
      </c>
      <c r="AZ23" s="190" t="s">
        <v>995</v>
      </c>
      <c r="BA23" s="190" t="s">
        <v>995</v>
      </c>
      <c r="BB23" s="190" t="s">
        <v>995</v>
      </c>
      <c r="BC23" s="190" t="s">
        <v>995</v>
      </c>
      <c r="BD23" s="190" t="s">
        <v>995</v>
      </c>
      <c r="BE23" s="190" t="s">
        <v>995</v>
      </c>
      <c r="BF23" s="190" t="s">
        <v>995</v>
      </c>
      <c r="BG23" s="190" t="s">
        <v>995</v>
      </c>
      <c r="BH23" s="190" t="s">
        <v>995</v>
      </c>
      <c r="BI23" s="190" t="s">
        <v>995</v>
      </c>
      <c r="BJ23" s="190" t="s">
        <v>995</v>
      </c>
      <c r="BK23" s="190" t="s">
        <v>995</v>
      </c>
      <c r="BL23" s="190" t="s">
        <v>995</v>
      </c>
      <c r="BM23" s="190" t="s">
        <v>995</v>
      </c>
      <c r="BN23" s="190" t="s">
        <v>995</v>
      </c>
      <c r="BO23" s="190" t="s">
        <v>995</v>
      </c>
      <c r="BP23" s="190" t="s">
        <v>995</v>
      </c>
      <c r="BQ23" s="190" t="s">
        <v>995</v>
      </c>
      <c r="BR23" s="190" t="s">
        <v>995</v>
      </c>
      <c r="BS23" s="190" t="s">
        <v>995</v>
      </c>
      <c r="BT23" s="190" t="s">
        <v>995</v>
      </c>
      <c r="BU23" s="190" t="s">
        <v>995</v>
      </c>
      <c r="BV23" s="190" t="s">
        <v>995</v>
      </c>
      <c r="BW23" s="190" t="s">
        <v>995</v>
      </c>
      <c r="BX23" s="190" t="s">
        <v>995</v>
      </c>
      <c r="BY23" s="190" t="s">
        <v>995</v>
      </c>
      <c r="BZ23" s="190" t="s">
        <v>995</v>
      </c>
      <c r="CA23" s="190" t="s">
        <v>995</v>
      </c>
      <c r="CB23" s="190" t="s">
        <v>995</v>
      </c>
      <c r="CC23" s="190" t="s">
        <v>995</v>
      </c>
      <c r="CD23" s="190" t="s">
        <v>995</v>
      </c>
      <c r="CE23" s="190" t="s">
        <v>995</v>
      </c>
      <c r="CF23" s="190" t="s">
        <v>995</v>
      </c>
      <c r="CG23" s="190" t="s">
        <v>995</v>
      </c>
      <c r="CH23" s="190" t="s">
        <v>995</v>
      </c>
      <c r="CI23" s="190" t="s">
        <v>995</v>
      </c>
      <c r="CJ23" s="190" t="s">
        <v>995</v>
      </c>
      <c r="CK23" s="190" t="s">
        <v>995</v>
      </c>
      <c r="CL23" s="190" t="s">
        <v>995</v>
      </c>
      <c r="CM23" s="190" t="s">
        <v>995</v>
      </c>
      <c r="CN23" s="190" t="s">
        <v>995</v>
      </c>
      <c r="CO23" s="190" t="s">
        <v>995</v>
      </c>
      <c r="CP23" s="190" t="s">
        <v>995</v>
      </c>
      <c r="CQ23" s="190" t="s">
        <v>995</v>
      </c>
      <c r="CR23" s="190"/>
      <c r="CS23" s="190" t="s">
        <v>995</v>
      </c>
      <c r="CT23" s="190" t="s">
        <v>991</v>
      </c>
      <c r="CU23" s="190" t="s">
        <v>994</v>
      </c>
      <c r="CV23" s="190" t="s">
        <v>991</v>
      </c>
      <c r="CW23" s="190"/>
      <c r="CX23" s="190" t="s">
        <v>995</v>
      </c>
      <c r="CY23" s="190" t="s">
        <v>995</v>
      </c>
      <c r="CZ23" s="190" t="s">
        <v>995</v>
      </c>
      <c r="DA23" s="190" t="s">
        <v>995</v>
      </c>
      <c r="DB23" s="190" t="s">
        <v>995</v>
      </c>
      <c r="DC23" s="190" t="s">
        <v>995</v>
      </c>
      <c r="DD23" s="190" t="s">
        <v>995</v>
      </c>
      <c r="DE23" s="190"/>
      <c r="DF23" s="174">
        <v>22</v>
      </c>
      <c r="DH23" s="182" t="s">
        <v>1049</v>
      </c>
      <c r="DI23" s="182" t="s">
        <v>962</v>
      </c>
      <c r="DJ23" s="182">
        <v>6</v>
      </c>
      <c r="DK23" s="182">
        <v>6</v>
      </c>
      <c r="DL23" s="182">
        <v>-4</v>
      </c>
      <c r="DM23" s="182"/>
      <c r="DN23" s="182"/>
      <c r="DO23" s="182">
        <v>-8</v>
      </c>
      <c r="DP23" s="182">
        <v>4</v>
      </c>
      <c r="DQ23" s="182">
        <v>-6</v>
      </c>
      <c r="DR23" s="182"/>
      <c r="DS23" s="182"/>
      <c r="DT23" s="182">
        <v>50</v>
      </c>
      <c r="DU23" s="182">
        <v>20</v>
      </c>
      <c r="DV23" s="182">
        <v>40</v>
      </c>
      <c r="DW23" s="182">
        <v>30</v>
      </c>
      <c r="DX23" s="182">
        <v>15</v>
      </c>
      <c r="DY23" s="182">
        <v>18</v>
      </c>
      <c r="DZ23" s="182">
        <v>5</v>
      </c>
      <c r="EA23" s="182">
        <v>0.5</v>
      </c>
      <c r="EB23" s="182">
        <v>45</v>
      </c>
      <c r="ED23" s="174" t="s">
        <v>962</v>
      </c>
      <c r="EE23" s="174">
        <v>2111</v>
      </c>
      <c r="EF23" s="174">
        <v>6543</v>
      </c>
      <c r="EG23" s="174">
        <v>2111</v>
      </c>
      <c r="EH23" s="174">
        <v>4322</v>
      </c>
      <c r="EI23" s="174">
        <v>2111</v>
      </c>
      <c r="EJ23" s="174">
        <v>4322</v>
      </c>
      <c r="EK23" s="174">
        <v>3221</v>
      </c>
      <c r="EL23" s="174">
        <v>6321</v>
      </c>
      <c r="EN23" s="182" t="s">
        <v>1050</v>
      </c>
      <c r="EO23" s="174">
        <v>2</v>
      </c>
      <c r="EQ23" s="174">
        <v>1</v>
      </c>
      <c r="ET23" s="174">
        <v>1</v>
      </c>
      <c r="EU23" s="174">
        <v>1</v>
      </c>
      <c r="EV23" s="174">
        <v>1</v>
      </c>
      <c r="EY23" s="174">
        <v>1</v>
      </c>
      <c r="EZ23" s="174">
        <v>1</v>
      </c>
      <c r="FA23" s="174">
        <v>1</v>
      </c>
      <c r="FC23" s="174">
        <v>1</v>
      </c>
      <c r="FD23" s="174">
        <v>1</v>
      </c>
      <c r="FE23" s="174">
        <v>1</v>
      </c>
      <c r="FF23" s="174">
        <v>1</v>
      </c>
      <c r="FG23" s="174">
        <v>8</v>
      </c>
      <c r="FH23" s="174">
        <v>3</v>
      </c>
      <c r="FI23" s="174">
        <v>1</v>
      </c>
      <c r="FJ23" s="174">
        <v>1</v>
      </c>
      <c r="FK23" s="174">
        <v>1</v>
      </c>
      <c r="FL23" s="174">
        <v>1</v>
      </c>
      <c r="FM23" s="174">
        <v>1</v>
      </c>
      <c r="FN23" s="174">
        <v>1</v>
      </c>
      <c r="FP23" s="174">
        <v>2</v>
      </c>
      <c r="FQ23" s="174">
        <v>1</v>
      </c>
      <c r="FR23" s="174">
        <v>1</v>
      </c>
      <c r="FV23" s="174">
        <v>1</v>
      </c>
      <c r="FW23" s="174">
        <v>1</v>
      </c>
      <c r="FX23" s="174">
        <v>1</v>
      </c>
      <c r="FY23" s="174">
        <v>1</v>
      </c>
      <c r="FZ23" s="174">
        <v>3</v>
      </c>
      <c r="GA23" s="174">
        <v>5</v>
      </c>
      <c r="GB23" s="174">
        <v>2</v>
      </c>
      <c r="GC23" s="174">
        <v>5</v>
      </c>
      <c r="GD23" s="174">
        <v>2</v>
      </c>
      <c r="GE23" s="174">
        <v>2</v>
      </c>
      <c r="GF23" s="174">
        <v>2</v>
      </c>
      <c r="GG23" s="174">
        <v>5</v>
      </c>
      <c r="GH23" s="174">
        <v>5</v>
      </c>
      <c r="GM23" s="174">
        <v>1</v>
      </c>
      <c r="GO23" s="174">
        <v>1</v>
      </c>
      <c r="HA23" s="174">
        <v>22</v>
      </c>
      <c r="HB23" s="197">
        <v>20</v>
      </c>
      <c r="HC23" s="183">
        <v>30</v>
      </c>
      <c r="HD23" s="183">
        <v>50</v>
      </c>
      <c r="HE23" s="183">
        <v>20</v>
      </c>
      <c r="HF23" s="183">
        <v>80</v>
      </c>
      <c r="HG23" s="193" t="e">
        <f t="shared" si="3"/>
        <v>#N/A</v>
      </c>
      <c r="HH23" s="192" t="e">
        <f t="shared" si="4"/>
        <v>#N/A</v>
      </c>
      <c r="HI23" s="198">
        <v>20</v>
      </c>
      <c r="HJ23" s="185">
        <v>80</v>
      </c>
      <c r="HK23" s="174">
        <v>21</v>
      </c>
      <c r="HL23" s="174">
        <v>175</v>
      </c>
      <c r="HM23" s="174">
        <v>135</v>
      </c>
      <c r="HN23" s="174">
        <v>124</v>
      </c>
      <c r="HO23" s="174">
        <v>123</v>
      </c>
      <c r="HP23" s="174">
        <v>122</v>
      </c>
      <c r="HQ23" s="174">
        <v>112</v>
      </c>
      <c r="HR23" s="174">
        <v>102</v>
      </c>
      <c r="HS23" s="174">
        <v>124</v>
      </c>
      <c r="HT23" s="174">
        <v>114</v>
      </c>
      <c r="HU23" s="174">
        <v>112</v>
      </c>
      <c r="HV23" s="174">
        <v>103</v>
      </c>
      <c r="HW23" s="174">
        <v>102</v>
      </c>
      <c r="HX23" s="174">
        <v>92</v>
      </c>
      <c r="HY23" s="174">
        <v>91</v>
      </c>
      <c r="HZ23" s="174">
        <v>81</v>
      </c>
      <c r="IA23" s="174">
        <v>93</v>
      </c>
      <c r="IB23" s="174">
        <v>82</v>
      </c>
      <c r="IC23" s="174">
        <v>72</v>
      </c>
      <c r="ID23" s="174">
        <v>51</v>
      </c>
      <c r="IE23" s="174">
        <v>31</v>
      </c>
      <c r="IF23" s="174">
        <v>23</v>
      </c>
      <c r="II23" s="174">
        <f>Skills!K132</f>
        <v>-3.01</v>
      </c>
      <c r="IJ23" s="174" t="str">
        <f>Skills!B132</f>
        <v>Directed Spell (per spell)</v>
      </c>
      <c r="IM23" s="174">
        <v>550000</v>
      </c>
      <c r="IN23" s="174">
        <v>21</v>
      </c>
    </row>
    <row r="24" spans="1:248" ht="13.35" customHeight="1" thickBot="1" x14ac:dyDescent="0.25">
      <c r="A24" s="183">
        <f t="shared" si="1"/>
        <v>23</v>
      </c>
      <c r="B24" s="184">
        <f t="shared" si="5"/>
        <v>-2</v>
      </c>
      <c r="C24" s="183">
        <f t="shared" si="2"/>
        <v>23</v>
      </c>
      <c r="E24" s="189" t="s">
        <v>586</v>
      </c>
      <c r="F24" s="190" t="s">
        <v>1047</v>
      </c>
      <c r="G24" s="190" t="s">
        <v>1006</v>
      </c>
      <c r="H24" s="190" t="s">
        <v>1006</v>
      </c>
      <c r="I24" s="190" t="s">
        <v>999</v>
      </c>
      <c r="J24" s="190" t="s">
        <v>1009</v>
      </c>
      <c r="K24" s="190" t="s">
        <v>987</v>
      </c>
      <c r="L24" s="190" t="s">
        <v>987</v>
      </c>
      <c r="M24" s="190" t="s">
        <v>1002</v>
      </c>
      <c r="N24" s="190" t="s">
        <v>1002</v>
      </c>
      <c r="O24" s="190" t="s">
        <v>1009</v>
      </c>
      <c r="P24" s="190" t="s">
        <v>1009</v>
      </c>
      <c r="Q24" s="190" t="s">
        <v>1002</v>
      </c>
      <c r="R24" s="190" t="s">
        <v>1002</v>
      </c>
      <c r="S24" s="190" t="s">
        <v>987</v>
      </c>
      <c r="T24" s="190" t="s">
        <v>1005</v>
      </c>
      <c r="U24" s="190" t="s">
        <v>1002</v>
      </c>
      <c r="V24" s="190" t="s">
        <v>991</v>
      </c>
      <c r="W24" s="190" t="s">
        <v>1005</v>
      </c>
      <c r="X24" s="190" t="s">
        <v>1009</v>
      </c>
      <c r="Y24" s="190" t="s">
        <v>1009</v>
      </c>
      <c r="Z24" s="190"/>
      <c r="AA24" s="190" t="s">
        <v>987</v>
      </c>
      <c r="AB24" s="190" t="s">
        <v>987</v>
      </c>
      <c r="AC24" s="190" t="s">
        <v>1004</v>
      </c>
      <c r="AD24" s="190" t="s">
        <v>1009</v>
      </c>
      <c r="AE24" s="190"/>
      <c r="AF24" s="190" t="s">
        <v>987</v>
      </c>
      <c r="AG24" s="190" t="s">
        <v>987</v>
      </c>
      <c r="AH24" s="190" t="s">
        <v>1005</v>
      </c>
      <c r="AI24" s="190"/>
      <c r="AJ24" s="190" t="s">
        <v>1007</v>
      </c>
      <c r="AK24" s="190" t="s">
        <v>1002</v>
      </c>
      <c r="AL24" s="190" t="s">
        <v>1009</v>
      </c>
      <c r="AM24" s="190" t="s">
        <v>1002</v>
      </c>
      <c r="AN24" s="190"/>
      <c r="AO24" s="190" t="s">
        <v>987</v>
      </c>
      <c r="AP24" s="190" t="s">
        <v>1002</v>
      </c>
      <c r="AQ24" s="190" t="s">
        <v>1004</v>
      </c>
      <c r="AR24" s="190"/>
      <c r="AS24" s="190" t="s">
        <v>987</v>
      </c>
      <c r="AT24" s="190" t="s">
        <v>987</v>
      </c>
      <c r="AU24" s="190" t="s">
        <v>987</v>
      </c>
      <c r="AV24" s="190" t="s">
        <v>987</v>
      </c>
      <c r="AW24" s="190" t="s">
        <v>987</v>
      </c>
      <c r="AX24" s="190" t="s">
        <v>987</v>
      </c>
      <c r="AY24" s="190" t="s">
        <v>987</v>
      </c>
      <c r="AZ24" s="190" t="s">
        <v>987</v>
      </c>
      <c r="BA24" s="190" t="s">
        <v>987</v>
      </c>
      <c r="BB24" s="190" t="s">
        <v>987</v>
      </c>
      <c r="BC24" s="190" t="s">
        <v>987</v>
      </c>
      <c r="BD24" s="190" t="s">
        <v>987</v>
      </c>
      <c r="BE24" s="190" t="s">
        <v>987</v>
      </c>
      <c r="BF24" s="190" t="s">
        <v>987</v>
      </c>
      <c r="BG24" s="190" t="s">
        <v>987</v>
      </c>
      <c r="BH24" s="190" t="s">
        <v>987</v>
      </c>
      <c r="BI24" s="190" t="s">
        <v>987</v>
      </c>
      <c r="BJ24" s="190" t="s">
        <v>987</v>
      </c>
      <c r="BK24" s="190" t="s">
        <v>987</v>
      </c>
      <c r="BL24" s="190" t="s">
        <v>987</v>
      </c>
      <c r="BM24" s="190" t="s">
        <v>987</v>
      </c>
      <c r="BN24" s="190" t="s">
        <v>987</v>
      </c>
      <c r="BO24" s="190" t="s">
        <v>987</v>
      </c>
      <c r="BP24" s="190" t="s">
        <v>987</v>
      </c>
      <c r="BQ24" s="190" t="s">
        <v>987</v>
      </c>
      <c r="BR24" s="190" t="s">
        <v>987</v>
      </c>
      <c r="BS24" s="190" t="s">
        <v>987</v>
      </c>
      <c r="BT24" s="190" t="s">
        <v>987</v>
      </c>
      <c r="BU24" s="190" t="s">
        <v>987</v>
      </c>
      <c r="BV24" s="190" t="s">
        <v>987</v>
      </c>
      <c r="BW24" s="190" t="s">
        <v>987</v>
      </c>
      <c r="BX24" s="190" t="s">
        <v>987</v>
      </c>
      <c r="BY24" s="190" t="s">
        <v>987</v>
      </c>
      <c r="BZ24" s="190" t="s">
        <v>987</v>
      </c>
      <c r="CA24" s="190" t="s">
        <v>987</v>
      </c>
      <c r="CB24" s="190" t="s">
        <v>987</v>
      </c>
      <c r="CC24" s="190" t="s">
        <v>987</v>
      </c>
      <c r="CD24" s="190" t="s">
        <v>987</v>
      </c>
      <c r="CE24" s="190" t="s">
        <v>987</v>
      </c>
      <c r="CF24" s="190" t="s">
        <v>987</v>
      </c>
      <c r="CG24" s="190" t="s">
        <v>987</v>
      </c>
      <c r="CH24" s="190" t="s">
        <v>987</v>
      </c>
      <c r="CI24" s="190" t="s">
        <v>987</v>
      </c>
      <c r="CJ24" s="190" t="s">
        <v>987</v>
      </c>
      <c r="CK24" s="190" t="s">
        <v>987</v>
      </c>
      <c r="CL24" s="190" t="s">
        <v>987</v>
      </c>
      <c r="CM24" s="190" t="s">
        <v>987</v>
      </c>
      <c r="CN24" s="190" t="s">
        <v>987</v>
      </c>
      <c r="CO24" s="190" t="s">
        <v>987</v>
      </c>
      <c r="CP24" s="190" t="s">
        <v>987</v>
      </c>
      <c r="CQ24" s="190" t="s">
        <v>987</v>
      </c>
      <c r="CR24" s="190"/>
      <c r="CS24" s="190" t="s">
        <v>1001</v>
      </c>
      <c r="CT24" s="190" t="s">
        <v>1006</v>
      </c>
      <c r="CU24" s="190" t="s">
        <v>1029</v>
      </c>
      <c r="CV24" s="190" t="s">
        <v>995</v>
      </c>
      <c r="CW24" s="190"/>
      <c r="CX24" s="190" t="s">
        <v>1002</v>
      </c>
      <c r="CY24" s="190" t="s">
        <v>1002</v>
      </c>
      <c r="CZ24" s="190" t="s">
        <v>1002</v>
      </c>
      <c r="DA24" s="190" t="s">
        <v>1001</v>
      </c>
      <c r="DB24" s="190" t="s">
        <v>987</v>
      </c>
      <c r="DC24" s="190" t="s">
        <v>1002</v>
      </c>
      <c r="DD24" s="190" t="s">
        <v>1009</v>
      </c>
      <c r="DE24" s="190"/>
      <c r="DF24" s="174">
        <v>23</v>
      </c>
      <c r="DH24" s="174" t="s">
        <v>907</v>
      </c>
      <c r="DI24" s="174" t="s">
        <v>971</v>
      </c>
      <c r="DL24" s="174">
        <v>2</v>
      </c>
      <c r="DO24" s="174">
        <v>2</v>
      </c>
      <c r="DQ24" s="174">
        <v>-2</v>
      </c>
      <c r="DR24" s="174">
        <v>2</v>
      </c>
      <c r="DY24" s="174">
        <v>12</v>
      </c>
      <c r="DZ24" s="174">
        <v>6</v>
      </c>
      <c r="EA24" s="174">
        <v>1</v>
      </c>
      <c r="EB24" s="174">
        <v>50</v>
      </c>
      <c r="ED24" s="174" t="s">
        <v>971</v>
      </c>
      <c r="EE24" s="174">
        <v>6543</v>
      </c>
      <c r="EF24" s="174">
        <v>6543</v>
      </c>
      <c r="EG24" s="174">
        <v>7654</v>
      </c>
      <c r="EH24" s="174">
        <v>6543</v>
      </c>
      <c r="EI24" s="174">
        <v>6543</v>
      </c>
      <c r="EJ24" s="174">
        <v>6543</v>
      </c>
      <c r="EK24" s="174">
        <v>6543</v>
      </c>
      <c r="EL24" s="174">
        <v>7521</v>
      </c>
      <c r="EN24" s="174" t="s">
        <v>606</v>
      </c>
      <c r="EO24" s="174">
        <v>2</v>
      </c>
      <c r="EQ24" s="174">
        <v>1</v>
      </c>
      <c r="ET24" s="174">
        <v>1</v>
      </c>
      <c r="EU24" s="174">
        <v>1</v>
      </c>
      <c r="EV24" s="174">
        <v>1</v>
      </c>
      <c r="EY24" s="174">
        <v>1</v>
      </c>
      <c r="EZ24" s="174">
        <v>1</v>
      </c>
      <c r="FA24" s="174">
        <v>1</v>
      </c>
      <c r="FC24" s="174">
        <v>1</v>
      </c>
      <c r="FD24" s="174">
        <v>1</v>
      </c>
      <c r="FE24" s="174">
        <v>1</v>
      </c>
      <c r="FF24" s="174">
        <v>1</v>
      </c>
      <c r="FG24" s="174">
        <v>8</v>
      </c>
      <c r="FH24" s="174">
        <v>3</v>
      </c>
      <c r="FI24" s="174">
        <v>0</v>
      </c>
      <c r="FJ24" s="174">
        <v>1</v>
      </c>
      <c r="FK24" s="174">
        <v>1</v>
      </c>
      <c r="FP24" s="174">
        <v>2</v>
      </c>
      <c r="FQ24" s="174">
        <v>1</v>
      </c>
      <c r="FR24" s="174">
        <v>1</v>
      </c>
      <c r="FZ24" s="174">
        <v>3</v>
      </c>
      <c r="GA24" s="174">
        <v>5</v>
      </c>
      <c r="GB24" s="174">
        <v>2</v>
      </c>
      <c r="GC24" s="174">
        <v>5</v>
      </c>
      <c r="GD24" s="174">
        <v>2</v>
      </c>
      <c r="GE24" s="174">
        <v>2</v>
      </c>
      <c r="GF24" s="174">
        <v>2</v>
      </c>
      <c r="GG24" s="174">
        <v>5</v>
      </c>
      <c r="GH24" s="174">
        <v>5</v>
      </c>
      <c r="GO24" s="174">
        <v>1</v>
      </c>
      <c r="HA24" s="174">
        <v>23</v>
      </c>
      <c r="HB24" s="197">
        <v>21</v>
      </c>
      <c r="HC24" s="183">
        <v>31</v>
      </c>
      <c r="HD24" s="183">
        <v>51</v>
      </c>
      <c r="HE24" s="194">
        <v>21</v>
      </c>
      <c r="HF24" s="183">
        <v>82</v>
      </c>
      <c r="HG24" s="193" t="e">
        <f t="shared" si="3"/>
        <v>#N/A</v>
      </c>
      <c r="HH24" s="192" t="e">
        <f t="shared" si="4"/>
        <v>#N/A</v>
      </c>
      <c r="HI24" s="198">
        <v>21</v>
      </c>
      <c r="HJ24" s="185">
        <v>82</v>
      </c>
      <c r="HK24" s="174">
        <v>22</v>
      </c>
      <c r="HL24" s="174">
        <v>180</v>
      </c>
      <c r="HM24" s="174">
        <v>140</v>
      </c>
      <c r="HN24" s="174">
        <v>128</v>
      </c>
      <c r="HO24" s="174">
        <v>126</v>
      </c>
      <c r="HP24" s="174">
        <v>124</v>
      </c>
      <c r="HQ24" s="174">
        <v>114</v>
      </c>
      <c r="HR24" s="174">
        <v>104</v>
      </c>
      <c r="HS24" s="174">
        <v>128</v>
      </c>
      <c r="HT24" s="174">
        <v>118</v>
      </c>
      <c r="HU24" s="174">
        <v>114</v>
      </c>
      <c r="HV24" s="174">
        <v>106</v>
      </c>
      <c r="HW24" s="174">
        <v>104</v>
      </c>
      <c r="HX24" s="174">
        <v>94</v>
      </c>
      <c r="HY24" s="174">
        <v>92</v>
      </c>
      <c r="HZ24" s="174">
        <v>82</v>
      </c>
      <c r="IA24" s="174">
        <v>96</v>
      </c>
      <c r="IB24" s="174">
        <v>84</v>
      </c>
      <c r="IC24" s="174">
        <v>74</v>
      </c>
      <c r="ID24" s="174">
        <v>52</v>
      </c>
      <c r="IE24" s="174">
        <v>32</v>
      </c>
      <c r="IF24" s="174">
        <v>24</v>
      </c>
      <c r="II24" s="174">
        <f>LARGE($II$35:$II$38,1)</f>
        <v>-9.01</v>
      </c>
      <c r="IJ24" s="174" t="str">
        <f>VLOOKUP(II24,$II$35:$IJ$38,2,0)</f>
        <v>Sweeps 2</v>
      </c>
      <c r="IM24" s="174">
        <v>600000</v>
      </c>
      <c r="IN24" s="174">
        <v>22</v>
      </c>
    </row>
    <row r="25" spans="1:248" ht="13.35" customHeight="1" thickBot="1" x14ac:dyDescent="0.25">
      <c r="A25" s="183">
        <f t="shared" si="1"/>
        <v>24</v>
      </c>
      <c r="B25" s="184">
        <f t="shared" si="5"/>
        <v>-2</v>
      </c>
      <c r="C25" s="183">
        <f t="shared" si="2"/>
        <v>24</v>
      </c>
      <c r="E25" s="189" t="s">
        <v>593</v>
      </c>
      <c r="F25" s="190" t="s">
        <v>1047</v>
      </c>
      <c r="G25" s="190" t="s">
        <v>1006</v>
      </c>
      <c r="H25" s="190" t="s">
        <v>1006</v>
      </c>
      <c r="I25" s="190" t="s">
        <v>999</v>
      </c>
      <c r="J25" s="190" t="s">
        <v>1009</v>
      </c>
      <c r="K25" s="190" t="s">
        <v>987</v>
      </c>
      <c r="L25" s="190" t="s">
        <v>987</v>
      </c>
      <c r="M25" s="190" t="s">
        <v>1002</v>
      </c>
      <c r="N25" s="190" t="s">
        <v>1002</v>
      </c>
      <c r="O25" s="190" t="s">
        <v>1009</v>
      </c>
      <c r="P25" s="190" t="s">
        <v>1009</v>
      </c>
      <c r="Q25" s="190" t="s">
        <v>1002</v>
      </c>
      <c r="R25" s="190" t="s">
        <v>1002</v>
      </c>
      <c r="S25" s="190" t="s">
        <v>987</v>
      </c>
      <c r="T25" s="190" t="s">
        <v>1005</v>
      </c>
      <c r="U25" s="190" t="s">
        <v>1002</v>
      </c>
      <c r="V25" s="190" t="s">
        <v>991</v>
      </c>
      <c r="W25" s="190" t="s">
        <v>1005</v>
      </c>
      <c r="X25" s="190" t="s">
        <v>1009</v>
      </c>
      <c r="Y25" s="190" t="s">
        <v>1009</v>
      </c>
      <c r="Z25" s="190"/>
      <c r="AA25" s="190" t="s">
        <v>987</v>
      </c>
      <c r="AB25" s="190" t="s">
        <v>987</v>
      </c>
      <c r="AC25" s="190" t="s">
        <v>1004</v>
      </c>
      <c r="AD25" s="190" t="s">
        <v>1009</v>
      </c>
      <c r="AE25" s="190"/>
      <c r="AF25" s="190" t="s">
        <v>987</v>
      </c>
      <c r="AG25" s="190" t="s">
        <v>987</v>
      </c>
      <c r="AH25" s="190" t="s">
        <v>1005</v>
      </c>
      <c r="AI25" s="190"/>
      <c r="AJ25" s="190" t="s">
        <v>1007</v>
      </c>
      <c r="AK25" s="190" t="s">
        <v>1002</v>
      </c>
      <c r="AL25" s="190" t="s">
        <v>1009</v>
      </c>
      <c r="AM25" s="190" t="s">
        <v>1002</v>
      </c>
      <c r="AN25" s="190"/>
      <c r="AO25" s="190" t="s">
        <v>987</v>
      </c>
      <c r="AP25" s="190" t="s">
        <v>1002</v>
      </c>
      <c r="AQ25" s="190" t="s">
        <v>1004</v>
      </c>
      <c r="AR25" s="190"/>
      <c r="AS25" s="190" t="s">
        <v>987</v>
      </c>
      <c r="AT25" s="190" t="s">
        <v>987</v>
      </c>
      <c r="AU25" s="190" t="s">
        <v>987</v>
      </c>
      <c r="AV25" s="190" t="s">
        <v>987</v>
      </c>
      <c r="AW25" s="190" t="s">
        <v>987</v>
      </c>
      <c r="AX25" s="190" t="s">
        <v>987</v>
      </c>
      <c r="AY25" s="190" t="s">
        <v>987</v>
      </c>
      <c r="AZ25" s="190" t="s">
        <v>987</v>
      </c>
      <c r="BA25" s="190" t="s">
        <v>987</v>
      </c>
      <c r="BB25" s="190" t="s">
        <v>987</v>
      </c>
      <c r="BC25" s="190" t="s">
        <v>987</v>
      </c>
      <c r="BD25" s="190" t="s">
        <v>987</v>
      </c>
      <c r="BE25" s="190" t="s">
        <v>987</v>
      </c>
      <c r="BF25" s="190" t="s">
        <v>987</v>
      </c>
      <c r="BG25" s="190" t="s">
        <v>987</v>
      </c>
      <c r="BH25" s="190" t="s">
        <v>987</v>
      </c>
      <c r="BI25" s="190" t="s">
        <v>987</v>
      </c>
      <c r="BJ25" s="190" t="s">
        <v>987</v>
      </c>
      <c r="BK25" s="190" t="s">
        <v>987</v>
      </c>
      <c r="BL25" s="190" t="s">
        <v>987</v>
      </c>
      <c r="BM25" s="190" t="s">
        <v>987</v>
      </c>
      <c r="BN25" s="190" t="s">
        <v>987</v>
      </c>
      <c r="BO25" s="190" t="s">
        <v>987</v>
      </c>
      <c r="BP25" s="190" t="s">
        <v>987</v>
      </c>
      <c r="BQ25" s="190" t="s">
        <v>987</v>
      </c>
      <c r="BR25" s="190" t="s">
        <v>987</v>
      </c>
      <c r="BS25" s="190" t="s">
        <v>987</v>
      </c>
      <c r="BT25" s="190" t="s">
        <v>987</v>
      </c>
      <c r="BU25" s="190" t="s">
        <v>987</v>
      </c>
      <c r="BV25" s="190" t="s">
        <v>987</v>
      </c>
      <c r="BW25" s="190" t="s">
        <v>987</v>
      </c>
      <c r="BX25" s="190" t="s">
        <v>987</v>
      </c>
      <c r="BY25" s="190" t="s">
        <v>987</v>
      </c>
      <c r="BZ25" s="190" t="s">
        <v>987</v>
      </c>
      <c r="CA25" s="190" t="s">
        <v>987</v>
      </c>
      <c r="CB25" s="190" t="s">
        <v>987</v>
      </c>
      <c r="CC25" s="190" t="s">
        <v>987</v>
      </c>
      <c r="CD25" s="190" t="s">
        <v>987</v>
      </c>
      <c r="CE25" s="190" t="s">
        <v>987</v>
      </c>
      <c r="CF25" s="190" t="s">
        <v>987</v>
      </c>
      <c r="CG25" s="190" t="s">
        <v>987</v>
      </c>
      <c r="CH25" s="190" t="s">
        <v>987</v>
      </c>
      <c r="CI25" s="190" t="s">
        <v>987</v>
      </c>
      <c r="CJ25" s="190" t="s">
        <v>987</v>
      </c>
      <c r="CK25" s="190" t="s">
        <v>987</v>
      </c>
      <c r="CL25" s="190" t="s">
        <v>987</v>
      </c>
      <c r="CM25" s="190" t="s">
        <v>987</v>
      </c>
      <c r="CN25" s="190" t="s">
        <v>987</v>
      </c>
      <c r="CO25" s="190" t="s">
        <v>987</v>
      </c>
      <c r="CP25" s="190" t="s">
        <v>987</v>
      </c>
      <c r="CQ25" s="190" t="s">
        <v>987</v>
      </c>
      <c r="CR25" s="190"/>
      <c r="CS25" s="190" t="s">
        <v>1051</v>
      </c>
      <c r="CT25" s="190" t="s">
        <v>1006</v>
      </c>
      <c r="CU25" s="190" t="s">
        <v>1029</v>
      </c>
      <c r="CV25" s="190" t="s">
        <v>995</v>
      </c>
      <c r="CW25" s="190"/>
      <c r="CX25" s="190" t="s">
        <v>1002</v>
      </c>
      <c r="CY25" s="190" t="s">
        <v>1002</v>
      </c>
      <c r="CZ25" s="190" t="s">
        <v>1002</v>
      </c>
      <c r="DA25" s="190" t="s">
        <v>1051</v>
      </c>
      <c r="DB25" s="190" t="s">
        <v>987</v>
      </c>
      <c r="DC25" s="190" t="s">
        <v>1002</v>
      </c>
      <c r="DD25" s="190" t="s">
        <v>1009</v>
      </c>
      <c r="DE25" s="190"/>
      <c r="DF25" s="174">
        <v>24</v>
      </c>
      <c r="DH25" s="182" t="s">
        <v>936</v>
      </c>
      <c r="DI25" s="182" t="s">
        <v>1052</v>
      </c>
      <c r="DJ25" s="182">
        <v>4</v>
      </c>
      <c r="DK25" s="182"/>
      <c r="DL25" s="182"/>
      <c r="DM25" s="182"/>
      <c r="DN25" s="182"/>
      <c r="DO25" s="182">
        <v>4</v>
      </c>
      <c r="DP25" s="182"/>
      <c r="DQ25" s="182">
        <v>2</v>
      </c>
      <c r="DR25" s="182"/>
      <c r="DS25" s="182"/>
      <c r="DT25" s="182"/>
      <c r="DU25" s="182"/>
      <c r="DV25" s="182"/>
      <c r="DW25" s="182">
        <v>5</v>
      </c>
      <c r="DX25" s="182">
        <v>15</v>
      </c>
      <c r="DY25" s="182">
        <v>10</v>
      </c>
      <c r="DZ25" s="182">
        <v>4</v>
      </c>
      <c r="EA25" s="182">
        <v>0.75</v>
      </c>
      <c r="EB25" s="182">
        <f>DZ25*10</f>
        <v>40</v>
      </c>
      <c r="ED25" s="174" t="s">
        <v>1052</v>
      </c>
      <c r="EE25" s="174">
        <v>6543</v>
      </c>
      <c r="EF25" s="174">
        <v>6543</v>
      </c>
      <c r="EG25" s="174">
        <v>7654</v>
      </c>
      <c r="EH25" s="174">
        <v>6453</v>
      </c>
      <c r="EI25" s="174">
        <v>6543</v>
      </c>
      <c r="EJ25" s="174">
        <v>6543</v>
      </c>
      <c r="EK25" s="174">
        <v>6543</v>
      </c>
      <c r="EL25" s="174">
        <v>7531</v>
      </c>
      <c r="EN25" s="182" t="s">
        <v>1053</v>
      </c>
      <c r="EO25" s="174">
        <v>2</v>
      </c>
      <c r="EP25" s="174">
        <v>4</v>
      </c>
      <c r="EQ25" s="174">
        <v>2</v>
      </c>
      <c r="ET25" s="174">
        <v>1</v>
      </c>
      <c r="EU25" s="174">
        <v>1</v>
      </c>
      <c r="EV25" s="174">
        <v>1</v>
      </c>
      <c r="EW25" s="174">
        <v>1</v>
      </c>
      <c r="EX25" s="174">
        <v>1</v>
      </c>
      <c r="EY25" s="174">
        <v>1</v>
      </c>
      <c r="EZ25" s="174">
        <v>1</v>
      </c>
      <c r="FA25" s="174">
        <v>2</v>
      </c>
      <c r="FB25" s="174">
        <v>2</v>
      </c>
      <c r="FC25" s="174">
        <v>3</v>
      </c>
      <c r="FD25" s="174">
        <v>5</v>
      </c>
      <c r="FE25" s="174">
        <v>4</v>
      </c>
      <c r="FF25" s="174">
        <v>3</v>
      </c>
      <c r="FG25" s="174">
        <v>1</v>
      </c>
      <c r="FH25" s="174">
        <v>3</v>
      </c>
      <c r="FI25" s="174">
        <v>1</v>
      </c>
      <c r="FJ25" s="174">
        <v>3</v>
      </c>
      <c r="FK25" s="174">
        <v>3</v>
      </c>
      <c r="FL25" s="174">
        <v>2</v>
      </c>
      <c r="FM25" s="174">
        <v>2</v>
      </c>
      <c r="FN25" s="174">
        <v>3</v>
      </c>
      <c r="FO25" s="174">
        <v>5</v>
      </c>
      <c r="FP25" s="174">
        <v>2</v>
      </c>
      <c r="FQ25" s="174">
        <v>4</v>
      </c>
      <c r="FR25" s="174">
        <v>2</v>
      </c>
      <c r="FS25" s="174">
        <v>2</v>
      </c>
      <c r="FT25" s="174">
        <v>2</v>
      </c>
      <c r="FU25" s="174">
        <v>1</v>
      </c>
      <c r="FV25" s="174">
        <v>4</v>
      </c>
      <c r="FW25" s="174">
        <v>4</v>
      </c>
      <c r="FX25" s="174">
        <v>4</v>
      </c>
      <c r="FY25" s="174">
        <v>4</v>
      </c>
      <c r="FZ25" s="174">
        <v>2</v>
      </c>
      <c r="GA25" s="174">
        <v>3</v>
      </c>
      <c r="GB25" s="174">
        <v>1</v>
      </c>
      <c r="GC25" s="174">
        <v>3</v>
      </c>
      <c r="GD25" s="174">
        <v>1</v>
      </c>
      <c r="GE25" s="174">
        <v>1</v>
      </c>
      <c r="GF25" s="174">
        <v>1</v>
      </c>
      <c r="GG25" s="174">
        <v>3</v>
      </c>
      <c r="GH25" s="174">
        <v>3</v>
      </c>
      <c r="GL25" s="174">
        <v>5</v>
      </c>
      <c r="GM25" s="174">
        <v>5</v>
      </c>
      <c r="GN25" s="174">
        <v>2</v>
      </c>
      <c r="GO25" s="174">
        <v>2</v>
      </c>
      <c r="GP25" s="174">
        <v>2</v>
      </c>
      <c r="GQ25" s="174">
        <v>5</v>
      </c>
      <c r="GR25" s="174">
        <v>2</v>
      </c>
      <c r="HA25" s="174">
        <v>24</v>
      </c>
      <c r="HB25" s="197">
        <v>22</v>
      </c>
      <c r="HC25" s="183">
        <v>31</v>
      </c>
      <c r="HD25" s="183">
        <v>52</v>
      </c>
      <c r="HE25" s="194">
        <v>21</v>
      </c>
      <c r="HF25" s="183">
        <v>83</v>
      </c>
      <c r="HG25" s="193" t="e">
        <f t="shared" si="3"/>
        <v>#N/A</v>
      </c>
      <c r="HH25" s="192" t="e">
        <f t="shared" si="4"/>
        <v>#N/A</v>
      </c>
      <c r="HI25" s="198">
        <v>21</v>
      </c>
      <c r="HJ25" s="185">
        <v>84</v>
      </c>
      <c r="HK25" s="174">
        <v>23</v>
      </c>
      <c r="HL25" s="174">
        <v>185</v>
      </c>
      <c r="HM25" s="174">
        <v>145</v>
      </c>
      <c r="HN25" s="174">
        <v>132</v>
      </c>
      <c r="HO25" s="174">
        <v>129</v>
      </c>
      <c r="HP25" s="174">
        <v>126</v>
      </c>
      <c r="HQ25" s="174">
        <v>116</v>
      </c>
      <c r="HR25" s="174">
        <v>106</v>
      </c>
      <c r="HS25" s="174">
        <v>132</v>
      </c>
      <c r="HT25" s="174">
        <v>122</v>
      </c>
      <c r="HU25" s="174">
        <v>116</v>
      </c>
      <c r="HV25" s="174">
        <v>109</v>
      </c>
      <c r="HW25" s="174">
        <v>106</v>
      </c>
      <c r="HX25" s="174">
        <v>96</v>
      </c>
      <c r="HY25" s="174">
        <v>93</v>
      </c>
      <c r="HZ25" s="174">
        <v>83</v>
      </c>
      <c r="IA25" s="174">
        <v>99</v>
      </c>
      <c r="IB25" s="174">
        <v>86</v>
      </c>
      <c r="IC25" s="174">
        <v>76</v>
      </c>
      <c r="ID25" s="174">
        <v>53</v>
      </c>
      <c r="IE25" s="174">
        <v>33</v>
      </c>
      <c r="IF25" s="174">
        <v>25</v>
      </c>
      <c r="II25" s="174">
        <f>LARGE($II$35:$II$38,2)</f>
        <v>-9.01</v>
      </c>
      <c r="IJ25" s="174" t="str">
        <f>VLOOKUP(II25,$II$35:$IJ$38,2,0)</f>
        <v>Sweeps 2</v>
      </c>
      <c r="IM25" s="174">
        <v>650000</v>
      </c>
      <c r="IN25" s="174">
        <v>23</v>
      </c>
    </row>
    <row r="26" spans="1:248" ht="13.35" customHeight="1" thickBot="1" x14ac:dyDescent="0.25">
      <c r="A26" s="183">
        <f t="shared" si="1"/>
        <v>25</v>
      </c>
      <c r="B26" s="184">
        <f t="shared" si="5"/>
        <v>-2</v>
      </c>
      <c r="C26" s="183">
        <f t="shared" si="2"/>
        <v>25</v>
      </c>
      <c r="E26" s="189" t="s">
        <v>600</v>
      </c>
      <c r="F26" s="190" t="s">
        <v>994</v>
      </c>
      <c r="G26" s="190" t="s">
        <v>991</v>
      </c>
      <c r="H26" s="190" t="s">
        <v>993</v>
      </c>
      <c r="I26" s="190" t="s">
        <v>995</v>
      </c>
      <c r="J26" s="190" t="s">
        <v>991</v>
      </c>
      <c r="K26" s="190" t="s">
        <v>1009</v>
      </c>
      <c r="L26" s="190" t="s">
        <v>1009</v>
      </c>
      <c r="M26" s="190" t="s">
        <v>1009</v>
      </c>
      <c r="N26" s="190" t="s">
        <v>996</v>
      </c>
      <c r="O26" s="190" t="s">
        <v>1009</v>
      </c>
      <c r="P26" s="190" t="s">
        <v>1009</v>
      </c>
      <c r="Q26" s="190" t="s">
        <v>1009</v>
      </c>
      <c r="R26" s="190" t="s">
        <v>1009</v>
      </c>
      <c r="S26" s="190" t="s">
        <v>1009</v>
      </c>
      <c r="T26" s="190" t="s">
        <v>993</v>
      </c>
      <c r="U26" s="190" t="s">
        <v>995</v>
      </c>
      <c r="V26" s="190" t="s">
        <v>1010</v>
      </c>
      <c r="W26" s="190" t="s">
        <v>995</v>
      </c>
      <c r="X26" s="190" t="s">
        <v>1010</v>
      </c>
      <c r="Y26" s="190" t="s">
        <v>1010</v>
      </c>
      <c r="Z26" s="190"/>
      <c r="AA26" s="190" t="s">
        <v>1009</v>
      </c>
      <c r="AB26" s="190" t="s">
        <v>1009</v>
      </c>
      <c r="AC26" s="190" t="s">
        <v>1010</v>
      </c>
      <c r="AD26" s="190" t="s">
        <v>995</v>
      </c>
      <c r="AE26" s="190"/>
      <c r="AF26" s="190" t="s">
        <v>1009</v>
      </c>
      <c r="AG26" s="190" t="s">
        <v>1009</v>
      </c>
      <c r="AH26" s="190" t="s">
        <v>1010</v>
      </c>
      <c r="AI26" s="190"/>
      <c r="AJ26" s="190" t="s">
        <v>995</v>
      </c>
      <c r="AK26" s="190" t="s">
        <v>1009</v>
      </c>
      <c r="AL26" s="190" t="s">
        <v>1009</v>
      </c>
      <c r="AM26" s="190" t="s">
        <v>1009</v>
      </c>
      <c r="AN26" s="190"/>
      <c r="AO26" s="190" t="s">
        <v>991</v>
      </c>
      <c r="AP26" s="190" t="s">
        <v>1009</v>
      </c>
      <c r="AQ26" s="190" t="s">
        <v>995</v>
      </c>
      <c r="AR26" s="190"/>
      <c r="AS26" s="190" t="s">
        <v>1001</v>
      </c>
      <c r="AT26" s="190" t="s">
        <v>1001</v>
      </c>
      <c r="AU26" s="190" t="s">
        <v>1001</v>
      </c>
      <c r="AV26" s="190" t="s">
        <v>1001</v>
      </c>
      <c r="AW26" s="190" t="s">
        <v>1001</v>
      </c>
      <c r="AX26" s="190" t="s">
        <v>1001</v>
      </c>
      <c r="AY26" s="190" t="s">
        <v>1001</v>
      </c>
      <c r="AZ26" s="190" t="s">
        <v>1001</v>
      </c>
      <c r="BA26" s="190" t="s">
        <v>1001</v>
      </c>
      <c r="BB26" s="190" t="s">
        <v>1001</v>
      </c>
      <c r="BC26" s="190" t="s">
        <v>1001</v>
      </c>
      <c r="BD26" s="190" t="s">
        <v>1001</v>
      </c>
      <c r="BE26" s="190" t="s">
        <v>1001</v>
      </c>
      <c r="BF26" s="190" t="s">
        <v>1001</v>
      </c>
      <c r="BG26" s="190" t="s">
        <v>1001</v>
      </c>
      <c r="BH26" s="190" t="s">
        <v>1001</v>
      </c>
      <c r="BI26" s="190" t="s">
        <v>1001</v>
      </c>
      <c r="BJ26" s="190" t="s">
        <v>1001</v>
      </c>
      <c r="BK26" s="190" t="s">
        <v>1001</v>
      </c>
      <c r="BL26" s="190" t="s">
        <v>1001</v>
      </c>
      <c r="BM26" s="190" t="s">
        <v>1001</v>
      </c>
      <c r="BN26" s="190" t="s">
        <v>1001</v>
      </c>
      <c r="BO26" s="190" t="s">
        <v>1001</v>
      </c>
      <c r="BP26" s="190" t="s">
        <v>1001</v>
      </c>
      <c r="BQ26" s="190" t="s">
        <v>1001</v>
      </c>
      <c r="BR26" s="190" t="s">
        <v>1001</v>
      </c>
      <c r="BS26" s="190" t="s">
        <v>1001</v>
      </c>
      <c r="BT26" s="190" t="s">
        <v>1001</v>
      </c>
      <c r="BU26" s="190" t="s">
        <v>1001</v>
      </c>
      <c r="BV26" s="190" t="s">
        <v>1001</v>
      </c>
      <c r="BW26" s="190" t="s">
        <v>1001</v>
      </c>
      <c r="BX26" s="190" t="s">
        <v>1001</v>
      </c>
      <c r="BY26" s="190" t="s">
        <v>1001</v>
      </c>
      <c r="BZ26" s="190" t="s">
        <v>1001</v>
      </c>
      <c r="CA26" s="190" t="s">
        <v>1001</v>
      </c>
      <c r="CB26" s="190" t="s">
        <v>1001</v>
      </c>
      <c r="CC26" s="190" t="s">
        <v>1001</v>
      </c>
      <c r="CD26" s="190" t="s">
        <v>1001</v>
      </c>
      <c r="CE26" s="190" t="s">
        <v>1001</v>
      </c>
      <c r="CF26" s="190" t="s">
        <v>1001</v>
      </c>
      <c r="CG26" s="190" t="s">
        <v>1001</v>
      </c>
      <c r="CH26" s="190" t="s">
        <v>1001</v>
      </c>
      <c r="CI26" s="190" t="s">
        <v>1001</v>
      </c>
      <c r="CJ26" s="190" t="s">
        <v>1001</v>
      </c>
      <c r="CK26" s="190" t="s">
        <v>1001</v>
      </c>
      <c r="CL26" s="190" t="s">
        <v>1001</v>
      </c>
      <c r="CM26" s="190" t="s">
        <v>1001</v>
      </c>
      <c r="CN26" s="190" t="s">
        <v>1001</v>
      </c>
      <c r="CO26" s="190" t="s">
        <v>1001</v>
      </c>
      <c r="CP26" s="190" t="s">
        <v>1001</v>
      </c>
      <c r="CQ26" s="190" t="s">
        <v>1001</v>
      </c>
      <c r="CR26" s="190"/>
      <c r="CS26" s="190" t="s">
        <v>999</v>
      </c>
      <c r="CT26" s="190" t="s">
        <v>994</v>
      </c>
      <c r="CU26" s="190" t="s">
        <v>995</v>
      </c>
      <c r="CV26" s="190" t="s">
        <v>992</v>
      </c>
      <c r="CW26" s="190"/>
      <c r="CX26" s="190" t="s">
        <v>991</v>
      </c>
      <c r="CY26" s="190" t="s">
        <v>1009</v>
      </c>
      <c r="CZ26" s="190" t="s">
        <v>996</v>
      </c>
      <c r="DA26" s="190" t="s">
        <v>999</v>
      </c>
      <c r="DB26" s="190" t="s">
        <v>1009</v>
      </c>
      <c r="DC26" s="190" t="s">
        <v>1009</v>
      </c>
      <c r="DD26" s="190" t="s">
        <v>1009</v>
      </c>
      <c r="DE26" s="190"/>
      <c r="DF26" s="174">
        <v>25</v>
      </c>
      <c r="DH26" s="182" t="s">
        <v>900</v>
      </c>
      <c r="DI26" s="182" t="s">
        <v>952</v>
      </c>
      <c r="DJ26" s="182">
        <v>2</v>
      </c>
      <c r="DK26" s="182"/>
      <c r="DL26" s="182">
        <v>2</v>
      </c>
      <c r="DM26" s="182"/>
      <c r="DN26" s="182"/>
      <c r="DO26" s="182">
        <v>2</v>
      </c>
      <c r="DP26" s="182"/>
      <c r="DQ26" s="182">
        <v>2</v>
      </c>
      <c r="DR26" s="182"/>
      <c r="DS26" s="182"/>
      <c r="DT26" s="182"/>
      <c r="DU26" s="182"/>
      <c r="DV26" s="182"/>
      <c r="DW26" s="182"/>
      <c r="DX26" s="182"/>
      <c r="DY26" s="182">
        <v>11</v>
      </c>
      <c r="DZ26" s="182">
        <v>5</v>
      </c>
      <c r="EA26" s="182">
        <v>0.9</v>
      </c>
      <c r="EB26" s="182">
        <f>DZ26*10</f>
        <v>50</v>
      </c>
      <c r="ED26" s="174" t="s">
        <v>952</v>
      </c>
      <c r="EE26" s="174">
        <v>6543</v>
      </c>
      <c r="EF26" s="174">
        <v>6543</v>
      </c>
      <c r="EG26" s="174">
        <v>7654</v>
      </c>
      <c r="EH26" s="174">
        <v>6543</v>
      </c>
      <c r="EI26" s="174">
        <v>6543</v>
      </c>
      <c r="EJ26" s="174">
        <v>6543</v>
      </c>
      <c r="EK26" s="174">
        <v>6543</v>
      </c>
      <c r="EL26" s="174">
        <v>7521</v>
      </c>
      <c r="EN26" s="182" t="s">
        <v>617</v>
      </c>
      <c r="ER26" s="174">
        <v>1</v>
      </c>
      <c r="ES26" s="174">
        <v>1</v>
      </c>
      <c r="EV26" s="174">
        <v>1</v>
      </c>
      <c r="EY26" s="174">
        <v>1</v>
      </c>
      <c r="FC26" s="174">
        <v>3</v>
      </c>
      <c r="FD26" s="174">
        <v>1</v>
      </c>
      <c r="FE26" s="174">
        <v>2</v>
      </c>
      <c r="FF26" s="174">
        <v>1</v>
      </c>
      <c r="GQ26" s="174">
        <v>2</v>
      </c>
      <c r="GR26" s="174">
        <v>2</v>
      </c>
      <c r="HA26" s="174">
        <v>25</v>
      </c>
      <c r="HB26" s="197">
        <v>23</v>
      </c>
      <c r="HC26" s="183">
        <v>32</v>
      </c>
      <c r="HD26" s="183">
        <v>53</v>
      </c>
      <c r="HE26" s="194">
        <v>22</v>
      </c>
      <c r="HF26" s="183">
        <v>85</v>
      </c>
      <c r="HG26" s="193" t="e">
        <f t="shared" si="3"/>
        <v>#N/A</v>
      </c>
      <c r="HH26" s="192" t="e">
        <f t="shared" si="4"/>
        <v>#N/A</v>
      </c>
      <c r="HI26" s="198">
        <v>22</v>
      </c>
      <c r="HJ26" s="185">
        <v>86</v>
      </c>
      <c r="HK26" s="174">
        <v>24</v>
      </c>
      <c r="HL26" s="174">
        <v>190</v>
      </c>
      <c r="HM26" s="174">
        <v>150</v>
      </c>
      <c r="HN26" s="174">
        <v>136</v>
      </c>
      <c r="HO26" s="174">
        <v>132</v>
      </c>
      <c r="HP26" s="174">
        <v>128</v>
      </c>
      <c r="HQ26" s="174">
        <v>118</v>
      </c>
      <c r="HR26" s="174">
        <v>108</v>
      </c>
      <c r="HS26" s="174">
        <v>136</v>
      </c>
      <c r="HT26" s="174">
        <v>126</v>
      </c>
      <c r="HU26" s="174">
        <v>118</v>
      </c>
      <c r="HV26" s="174">
        <v>112</v>
      </c>
      <c r="HW26" s="174">
        <v>108</v>
      </c>
      <c r="HX26" s="174">
        <v>98</v>
      </c>
      <c r="HY26" s="174">
        <v>94</v>
      </c>
      <c r="HZ26" s="174">
        <v>84</v>
      </c>
      <c r="IA26" s="174">
        <v>102</v>
      </c>
      <c r="IB26" s="174">
        <v>88</v>
      </c>
      <c r="IC26" s="174">
        <v>78</v>
      </c>
      <c r="ID26" s="174">
        <v>54</v>
      </c>
      <c r="IE26" s="174">
        <v>34</v>
      </c>
      <c r="IF26" s="174">
        <v>26</v>
      </c>
      <c r="II26" s="174">
        <f>LARGE($II$35:$II$38,3)</f>
        <v>-21.009999999999998</v>
      </c>
      <c r="IJ26" s="174" t="str">
        <f>VLOOKUP(II26,$II$35:$IJ$38,2,0)</f>
        <v>Sweeps 4</v>
      </c>
      <c r="IM26" s="174">
        <v>700000</v>
      </c>
      <c r="IN26" s="174">
        <v>24</v>
      </c>
    </row>
    <row r="27" spans="1:248" ht="13.35" customHeight="1" thickBot="1" x14ac:dyDescent="0.25">
      <c r="A27" s="183">
        <f t="shared" si="1"/>
        <v>26</v>
      </c>
      <c r="B27" s="184">
        <f t="shared" si="5"/>
        <v>-1</v>
      </c>
      <c r="C27" s="183">
        <f t="shared" si="2"/>
        <v>26</v>
      </c>
      <c r="E27" s="189" t="s">
        <v>607</v>
      </c>
      <c r="F27" s="190" t="s">
        <v>991</v>
      </c>
      <c r="G27" s="190" t="s">
        <v>995</v>
      </c>
      <c r="H27" s="190" t="s">
        <v>992</v>
      </c>
      <c r="I27" s="190" t="s">
        <v>995</v>
      </c>
      <c r="J27" s="190" t="s">
        <v>991</v>
      </c>
      <c r="K27" s="190" t="s">
        <v>1009</v>
      </c>
      <c r="L27" s="190" t="s">
        <v>1009</v>
      </c>
      <c r="M27" s="190" t="s">
        <v>1010</v>
      </c>
      <c r="N27" s="190" t="s">
        <v>996</v>
      </c>
      <c r="O27" s="190" t="s">
        <v>1009</v>
      </c>
      <c r="P27" s="190" t="s">
        <v>1009</v>
      </c>
      <c r="Q27" s="190" t="s">
        <v>1009</v>
      </c>
      <c r="R27" s="190" t="s">
        <v>1009</v>
      </c>
      <c r="S27" s="190" t="s">
        <v>1009</v>
      </c>
      <c r="T27" s="190" t="s">
        <v>999</v>
      </c>
      <c r="U27" s="190" t="s">
        <v>995</v>
      </c>
      <c r="V27" s="190" t="s">
        <v>995</v>
      </c>
      <c r="W27" s="190" t="s">
        <v>995</v>
      </c>
      <c r="X27" s="190" t="s">
        <v>995</v>
      </c>
      <c r="Y27" s="190" t="s">
        <v>995</v>
      </c>
      <c r="Z27" s="190"/>
      <c r="AA27" s="190" t="s">
        <v>1009</v>
      </c>
      <c r="AB27" s="190" t="s">
        <v>1009</v>
      </c>
      <c r="AC27" s="190" t="s">
        <v>995</v>
      </c>
      <c r="AD27" s="190" t="s">
        <v>993</v>
      </c>
      <c r="AE27" s="190"/>
      <c r="AF27" s="190" t="s">
        <v>1009</v>
      </c>
      <c r="AG27" s="190" t="s">
        <v>1009</v>
      </c>
      <c r="AH27" s="190" t="s">
        <v>1010</v>
      </c>
      <c r="AI27" s="190"/>
      <c r="AJ27" s="190" t="s">
        <v>995</v>
      </c>
      <c r="AK27" s="190" t="s">
        <v>1009</v>
      </c>
      <c r="AL27" s="190" t="s">
        <v>1006</v>
      </c>
      <c r="AM27" s="190" t="s">
        <v>991</v>
      </c>
      <c r="AN27" s="190"/>
      <c r="AO27" s="190" t="s">
        <v>1009</v>
      </c>
      <c r="AP27" s="190" t="s">
        <v>1009</v>
      </c>
      <c r="AQ27" s="190" t="s">
        <v>995</v>
      </c>
      <c r="AR27" s="190"/>
      <c r="AS27" s="190" t="s">
        <v>1001</v>
      </c>
      <c r="AT27" s="190" t="s">
        <v>1001</v>
      </c>
      <c r="AU27" s="190" t="s">
        <v>1001</v>
      </c>
      <c r="AV27" s="190" t="s">
        <v>1001</v>
      </c>
      <c r="AW27" s="190" t="s">
        <v>1001</v>
      </c>
      <c r="AX27" s="190" t="s">
        <v>1001</v>
      </c>
      <c r="AY27" s="190" t="s">
        <v>1001</v>
      </c>
      <c r="AZ27" s="190" t="s">
        <v>1001</v>
      </c>
      <c r="BA27" s="190" t="s">
        <v>1001</v>
      </c>
      <c r="BB27" s="190" t="s">
        <v>1001</v>
      </c>
      <c r="BC27" s="190" t="s">
        <v>1001</v>
      </c>
      <c r="BD27" s="190" t="s">
        <v>1001</v>
      </c>
      <c r="BE27" s="190" t="s">
        <v>1001</v>
      </c>
      <c r="BF27" s="190" t="s">
        <v>1001</v>
      </c>
      <c r="BG27" s="190" t="s">
        <v>1001</v>
      </c>
      <c r="BH27" s="190" t="s">
        <v>1001</v>
      </c>
      <c r="BI27" s="190" t="s">
        <v>1001</v>
      </c>
      <c r="BJ27" s="190" t="s">
        <v>1001</v>
      </c>
      <c r="BK27" s="190" t="s">
        <v>1001</v>
      </c>
      <c r="BL27" s="190" t="s">
        <v>1001</v>
      </c>
      <c r="BM27" s="190" t="s">
        <v>1001</v>
      </c>
      <c r="BN27" s="190" t="s">
        <v>1001</v>
      </c>
      <c r="BO27" s="190" t="s">
        <v>1001</v>
      </c>
      <c r="BP27" s="190" t="s">
        <v>1001</v>
      </c>
      <c r="BQ27" s="190" t="s">
        <v>1001</v>
      </c>
      <c r="BR27" s="190" t="s">
        <v>1001</v>
      </c>
      <c r="BS27" s="190" t="s">
        <v>1001</v>
      </c>
      <c r="BT27" s="190" t="s">
        <v>1001</v>
      </c>
      <c r="BU27" s="190" t="s">
        <v>1001</v>
      </c>
      <c r="BV27" s="190" t="s">
        <v>1001</v>
      </c>
      <c r="BW27" s="190" t="s">
        <v>1001</v>
      </c>
      <c r="BX27" s="190" t="s">
        <v>1001</v>
      </c>
      <c r="BY27" s="190" t="s">
        <v>1001</v>
      </c>
      <c r="BZ27" s="190" t="s">
        <v>1001</v>
      </c>
      <c r="CA27" s="190" t="s">
        <v>1001</v>
      </c>
      <c r="CB27" s="190" t="s">
        <v>1001</v>
      </c>
      <c r="CC27" s="190" t="s">
        <v>1001</v>
      </c>
      <c r="CD27" s="190" t="s">
        <v>1001</v>
      </c>
      <c r="CE27" s="190" t="s">
        <v>1001</v>
      </c>
      <c r="CF27" s="190" t="s">
        <v>1001</v>
      </c>
      <c r="CG27" s="190" t="s">
        <v>1001</v>
      </c>
      <c r="CH27" s="190" t="s">
        <v>1001</v>
      </c>
      <c r="CI27" s="190" t="s">
        <v>1001</v>
      </c>
      <c r="CJ27" s="190" t="s">
        <v>1001</v>
      </c>
      <c r="CK27" s="190" t="s">
        <v>1001</v>
      </c>
      <c r="CL27" s="190" t="s">
        <v>1001</v>
      </c>
      <c r="CM27" s="190" t="s">
        <v>1001</v>
      </c>
      <c r="CN27" s="190" t="s">
        <v>1001</v>
      </c>
      <c r="CO27" s="190" t="s">
        <v>1001</v>
      </c>
      <c r="CP27" s="190" t="s">
        <v>1001</v>
      </c>
      <c r="CQ27" s="190" t="s">
        <v>1001</v>
      </c>
      <c r="CR27" s="190"/>
      <c r="CS27" s="190" t="s">
        <v>999</v>
      </c>
      <c r="CT27" s="190" t="s">
        <v>992</v>
      </c>
      <c r="CU27" s="190" t="s">
        <v>995</v>
      </c>
      <c r="CV27" s="190" t="s">
        <v>995</v>
      </c>
      <c r="CW27" s="190"/>
      <c r="CX27" s="190" t="s">
        <v>993</v>
      </c>
      <c r="CY27" s="190" t="s">
        <v>1010</v>
      </c>
      <c r="CZ27" s="190" t="s">
        <v>996</v>
      </c>
      <c r="DA27" s="190" t="s">
        <v>999</v>
      </c>
      <c r="DB27" s="190" t="s">
        <v>1009</v>
      </c>
      <c r="DC27" s="190" t="s">
        <v>1010</v>
      </c>
      <c r="DD27" s="190" t="s">
        <v>1009</v>
      </c>
      <c r="DE27" s="190"/>
      <c r="DF27" s="174">
        <v>26</v>
      </c>
      <c r="DH27" s="182" t="s">
        <v>1054</v>
      </c>
      <c r="DI27" s="182" t="s">
        <v>899</v>
      </c>
      <c r="DJ27" s="182">
        <v>2</v>
      </c>
      <c r="DK27" s="182">
        <v>2</v>
      </c>
      <c r="DL27" s="182">
        <v>-3</v>
      </c>
      <c r="DM27" s="182"/>
      <c r="DN27" s="182"/>
      <c r="DO27" s="182">
        <v>2</v>
      </c>
      <c r="DP27" s="182">
        <v>2</v>
      </c>
      <c r="DQ27" s="182">
        <v>2</v>
      </c>
      <c r="DR27" s="182"/>
      <c r="DS27" s="182"/>
      <c r="DT27" s="182"/>
      <c r="DU27" s="182"/>
      <c r="DV27" s="182"/>
      <c r="DW27" s="182">
        <v>5</v>
      </c>
      <c r="DX27" s="182">
        <v>50</v>
      </c>
      <c r="DY27" s="182">
        <v>4</v>
      </c>
      <c r="DZ27" s="182">
        <v>4</v>
      </c>
      <c r="EA27" s="182">
        <v>1.5</v>
      </c>
      <c r="EB27" s="182">
        <v>45</v>
      </c>
      <c r="ED27" s="174" t="s">
        <v>899</v>
      </c>
      <c r="EE27" s="174">
        <v>6543</v>
      </c>
      <c r="EF27" s="174">
        <v>6543</v>
      </c>
      <c r="EG27" s="174">
        <v>7654</v>
      </c>
      <c r="EH27" s="174">
        <v>6543</v>
      </c>
      <c r="EI27" s="174">
        <v>6543</v>
      </c>
      <c r="EJ27" s="174">
        <v>6543</v>
      </c>
      <c r="EK27" s="174">
        <v>6543</v>
      </c>
      <c r="EL27" s="174">
        <v>7531</v>
      </c>
      <c r="EN27" s="182" t="s">
        <v>1055</v>
      </c>
      <c r="ER27" s="174">
        <v>1</v>
      </c>
      <c r="ES27" s="174">
        <v>1</v>
      </c>
      <c r="ET27" s="174">
        <v>1</v>
      </c>
      <c r="EU27" s="174">
        <v>1</v>
      </c>
      <c r="EV27" s="174">
        <v>1</v>
      </c>
      <c r="EW27" s="174">
        <v>1</v>
      </c>
      <c r="EX27" s="174">
        <v>1</v>
      </c>
      <c r="EY27" s="174">
        <v>1</v>
      </c>
      <c r="EZ27" s="174">
        <v>1</v>
      </c>
      <c r="FA27" s="174">
        <v>1</v>
      </c>
      <c r="FB27" s="174">
        <v>1</v>
      </c>
      <c r="FC27" s="174">
        <v>2</v>
      </c>
      <c r="FD27" s="174">
        <v>1</v>
      </c>
      <c r="FE27" s="174">
        <v>1</v>
      </c>
      <c r="FF27" s="174">
        <v>1</v>
      </c>
      <c r="FQ27" s="174">
        <v>1</v>
      </c>
      <c r="FR27" s="174">
        <v>1</v>
      </c>
      <c r="GQ27" s="174">
        <v>2</v>
      </c>
      <c r="GR27" s="174">
        <v>2</v>
      </c>
      <c r="HA27" s="174">
        <v>26</v>
      </c>
      <c r="HB27" s="197">
        <v>24</v>
      </c>
      <c r="HC27" s="183">
        <v>32</v>
      </c>
      <c r="HD27" s="183">
        <v>54</v>
      </c>
      <c r="HE27" s="194">
        <v>22</v>
      </c>
      <c r="HF27" s="183">
        <v>86</v>
      </c>
      <c r="HG27" s="193" t="e">
        <f t="shared" si="3"/>
        <v>#N/A</v>
      </c>
      <c r="HH27" s="192" t="e">
        <f t="shared" si="4"/>
        <v>#N/A</v>
      </c>
      <c r="HI27" s="198">
        <v>22</v>
      </c>
      <c r="HJ27" s="185">
        <v>88</v>
      </c>
      <c r="HK27" s="174">
        <v>25</v>
      </c>
      <c r="HL27" s="174">
        <v>195</v>
      </c>
      <c r="HM27" s="174">
        <v>155</v>
      </c>
      <c r="HN27" s="174">
        <v>140</v>
      </c>
      <c r="HO27" s="174">
        <v>135</v>
      </c>
      <c r="HP27" s="174">
        <v>130</v>
      </c>
      <c r="HQ27" s="174">
        <v>120</v>
      </c>
      <c r="HR27" s="174">
        <v>110</v>
      </c>
      <c r="HS27" s="174">
        <v>140</v>
      </c>
      <c r="HT27" s="174">
        <v>130</v>
      </c>
      <c r="HU27" s="174">
        <v>120</v>
      </c>
      <c r="HV27" s="174">
        <v>115</v>
      </c>
      <c r="HW27" s="174">
        <v>110</v>
      </c>
      <c r="HX27" s="174">
        <v>100</v>
      </c>
      <c r="HY27" s="174">
        <v>95</v>
      </c>
      <c r="HZ27" s="174">
        <v>85</v>
      </c>
      <c r="IA27" s="174">
        <v>105</v>
      </c>
      <c r="IB27" s="174">
        <v>90</v>
      </c>
      <c r="IC27" s="174">
        <v>80</v>
      </c>
      <c r="ID27" s="174">
        <v>55</v>
      </c>
      <c r="IE27" s="174">
        <v>35</v>
      </c>
      <c r="IF27" s="174">
        <v>27</v>
      </c>
      <c r="II27" s="174">
        <f>LARGE($II$35:$II$38,4)</f>
        <v>-21.009999999999998</v>
      </c>
      <c r="IJ27" s="174" t="str">
        <f>VLOOKUP(II27,$II$35:$IJ$38,2,0)</f>
        <v>Sweeps 4</v>
      </c>
      <c r="IM27" s="174">
        <v>750000</v>
      </c>
      <c r="IN27" s="174">
        <v>25</v>
      </c>
    </row>
    <row r="28" spans="1:248" ht="13.35" customHeight="1" thickBot="1" x14ac:dyDescent="0.25">
      <c r="A28" s="183">
        <f t="shared" si="1"/>
        <v>27</v>
      </c>
      <c r="B28" s="184">
        <f t="shared" si="5"/>
        <v>-1</v>
      </c>
      <c r="C28" s="183">
        <f t="shared" si="2"/>
        <v>27</v>
      </c>
      <c r="E28" s="189" t="s">
        <v>617</v>
      </c>
      <c r="F28" s="190" t="s">
        <v>988</v>
      </c>
      <c r="G28" s="190" t="s">
        <v>1002</v>
      </c>
      <c r="H28" s="190" t="s">
        <v>1003</v>
      </c>
      <c r="I28" s="190" t="s">
        <v>988</v>
      </c>
      <c r="J28" s="190" t="s">
        <v>1056</v>
      </c>
      <c r="K28" s="190" t="s">
        <v>994</v>
      </c>
      <c r="L28" s="190" t="s">
        <v>994</v>
      </c>
      <c r="M28" s="190" t="s">
        <v>991</v>
      </c>
      <c r="N28" s="190" t="s">
        <v>995</v>
      </c>
      <c r="O28" s="190" t="s">
        <v>991</v>
      </c>
      <c r="P28" s="190" t="s">
        <v>995</v>
      </c>
      <c r="Q28" s="190" t="s">
        <v>995</v>
      </c>
      <c r="R28" s="190" t="s">
        <v>991</v>
      </c>
      <c r="S28" s="190" t="s">
        <v>991</v>
      </c>
      <c r="T28" s="190" t="s">
        <v>1004</v>
      </c>
      <c r="U28" s="190" t="s">
        <v>1002</v>
      </c>
      <c r="V28" s="190" t="s">
        <v>1006</v>
      </c>
      <c r="W28" s="190" t="s">
        <v>1010</v>
      </c>
      <c r="X28" s="190" t="s">
        <v>1001</v>
      </c>
      <c r="Y28" s="190" t="s">
        <v>1006</v>
      </c>
      <c r="Z28" s="190"/>
      <c r="AA28" s="190" t="s">
        <v>999</v>
      </c>
      <c r="AB28" s="190" t="s">
        <v>999</v>
      </c>
      <c r="AC28" s="190" t="s">
        <v>992</v>
      </c>
      <c r="AD28" s="190" t="s">
        <v>993</v>
      </c>
      <c r="AE28" s="190"/>
      <c r="AF28" s="190" t="s">
        <v>994</v>
      </c>
      <c r="AG28" s="190" t="s">
        <v>994</v>
      </c>
      <c r="AH28" s="190" t="s">
        <v>1010</v>
      </c>
      <c r="AI28" s="190"/>
      <c r="AJ28" s="190" t="s">
        <v>1029</v>
      </c>
      <c r="AK28" s="190" t="s">
        <v>991</v>
      </c>
      <c r="AL28" s="190" t="s">
        <v>995</v>
      </c>
      <c r="AM28" s="190" t="s">
        <v>995</v>
      </c>
      <c r="AN28" s="190"/>
      <c r="AO28" s="190" t="s">
        <v>992</v>
      </c>
      <c r="AP28" s="190" t="s">
        <v>991</v>
      </c>
      <c r="AQ28" s="190" t="s">
        <v>1004</v>
      </c>
      <c r="AR28" s="190"/>
      <c r="AS28" s="190" t="s">
        <v>991</v>
      </c>
      <c r="AT28" s="190" t="s">
        <v>991</v>
      </c>
      <c r="AU28" s="190" t="s">
        <v>991</v>
      </c>
      <c r="AV28" s="190" t="s">
        <v>991</v>
      </c>
      <c r="AW28" s="190" t="s">
        <v>991</v>
      </c>
      <c r="AX28" s="190" t="s">
        <v>991</v>
      </c>
      <c r="AY28" s="190" t="s">
        <v>991</v>
      </c>
      <c r="AZ28" s="190" t="s">
        <v>991</v>
      </c>
      <c r="BA28" s="190" t="s">
        <v>991</v>
      </c>
      <c r="BB28" s="190" t="s">
        <v>991</v>
      </c>
      <c r="BC28" s="190" t="s">
        <v>991</v>
      </c>
      <c r="BD28" s="190" t="s">
        <v>991</v>
      </c>
      <c r="BE28" s="190" t="s">
        <v>991</v>
      </c>
      <c r="BF28" s="190" t="s">
        <v>991</v>
      </c>
      <c r="BG28" s="190" t="s">
        <v>991</v>
      </c>
      <c r="BH28" s="190" t="s">
        <v>991</v>
      </c>
      <c r="BI28" s="190" t="s">
        <v>991</v>
      </c>
      <c r="BJ28" s="190" t="s">
        <v>991</v>
      </c>
      <c r="BK28" s="190" t="s">
        <v>991</v>
      </c>
      <c r="BL28" s="190" t="s">
        <v>991</v>
      </c>
      <c r="BM28" s="190" t="s">
        <v>991</v>
      </c>
      <c r="BN28" s="190" t="s">
        <v>991</v>
      </c>
      <c r="BO28" s="190" t="s">
        <v>991</v>
      </c>
      <c r="BP28" s="190" t="s">
        <v>991</v>
      </c>
      <c r="BQ28" s="190" t="s">
        <v>991</v>
      </c>
      <c r="BR28" s="190" t="s">
        <v>991</v>
      </c>
      <c r="BS28" s="190" t="s">
        <v>991</v>
      </c>
      <c r="BT28" s="190" t="s">
        <v>991</v>
      </c>
      <c r="BU28" s="190" t="s">
        <v>991</v>
      </c>
      <c r="BV28" s="190" t="s">
        <v>991</v>
      </c>
      <c r="BW28" s="190" t="s">
        <v>991</v>
      </c>
      <c r="BX28" s="190" t="s">
        <v>991</v>
      </c>
      <c r="BY28" s="190" t="s">
        <v>991</v>
      </c>
      <c r="BZ28" s="190" t="s">
        <v>991</v>
      </c>
      <c r="CA28" s="190" t="s">
        <v>991</v>
      </c>
      <c r="CB28" s="190" t="s">
        <v>991</v>
      </c>
      <c r="CC28" s="190" t="s">
        <v>991</v>
      </c>
      <c r="CD28" s="190" t="s">
        <v>991</v>
      </c>
      <c r="CE28" s="190" t="s">
        <v>991</v>
      </c>
      <c r="CF28" s="190" t="s">
        <v>991</v>
      </c>
      <c r="CG28" s="190" t="s">
        <v>991</v>
      </c>
      <c r="CH28" s="190" t="s">
        <v>991</v>
      </c>
      <c r="CI28" s="190" t="s">
        <v>991</v>
      </c>
      <c r="CJ28" s="190" t="s">
        <v>991</v>
      </c>
      <c r="CK28" s="190" t="s">
        <v>991</v>
      </c>
      <c r="CL28" s="190" t="s">
        <v>991</v>
      </c>
      <c r="CM28" s="190" t="s">
        <v>991</v>
      </c>
      <c r="CN28" s="190" t="s">
        <v>991</v>
      </c>
      <c r="CO28" s="190" t="s">
        <v>991</v>
      </c>
      <c r="CP28" s="190" t="s">
        <v>991</v>
      </c>
      <c r="CQ28" s="190" t="s">
        <v>991</v>
      </c>
      <c r="CR28" s="190"/>
      <c r="CS28" s="190" t="s">
        <v>988</v>
      </c>
      <c r="CT28" s="190" t="s">
        <v>1003</v>
      </c>
      <c r="CU28" s="190" t="s">
        <v>1002</v>
      </c>
      <c r="CV28" s="190" t="s">
        <v>1003</v>
      </c>
      <c r="CW28" s="190"/>
      <c r="CX28" s="190" t="s">
        <v>1001</v>
      </c>
      <c r="CY28" s="190" t="s">
        <v>991</v>
      </c>
      <c r="CZ28" s="190" t="s">
        <v>995</v>
      </c>
      <c r="DA28" s="190" t="s">
        <v>988</v>
      </c>
      <c r="DB28" s="190" t="s">
        <v>994</v>
      </c>
      <c r="DC28" s="190" t="s">
        <v>991</v>
      </c>
      <c r="DD28" s="190" t="s">
        <v>991</v>
      </c>
      <c r="DE28" s="190"/>
      <c r="DF28" s="174">
        <v>27</v>
      </c>
      <c r="DH28" s="174" t="s">
        <v>1057</v>
      </c>
      <c r="DI28" s="174" t="s">
        <v>1058</v>
      </c>
      <c r="DJ28" s="174">
        <v>2</v>
      </c>
      <c r="DL28" s="174">
        <v>2</v>
      </c>
      <c r="DO28" s="174">
        <v>2</v>
      </c>
      <c r="DQ28" s="174">
        <v>-2</v>
      </c>
      <c r="DW28" s="174">
        <v>10</v>
      </c>
      <c r="DY28" s="174">
        <v>6</v>
      </c>
      <c r="DZ28" s="174">
        <v>5</v>
      </c>
      <c r="EA28" s="174">
        <v>0.75</v>
      </c>
      <c r="EB28" s="174">
        <f>DZ28*10</f>
        <v>50</v>
      </c>
      <c r="ED28" s="174" t="s">
        <v>1058</v>
      </c>
      <c r="EE28" s="174">
        <v>6432</v>
      </c>
      <c r="EF28" s="174">
        <v>6543</v>
      </c>
      <c r="EG28" s="174">
        <v>6432</v>
      </c>
      <c r="EH28" s="174">
        <v>6432</v>
      </c>
      <c r="EI28" s="174">
        <v>6432</v>
      </c>
      <c r="EJ28" s="174">
        <v>6432</v>
      </c>
      <c r="EK28" s="174">
        <v>6432</v>
      </c>
      <c r="EL28" s="174">
        <v>7521</v>
      </c>
      <c r="EN28" s="182"/>
      <c r="HA28" s="174">
        <v>27</v>
      </c>
      <c r="HB28" s="197">
        <v>25</v>
      </c>
      <c r="HC28" s="183">
        <v>33</v>
      </c>
      <c r="HD28" s="183">
        <v>55</v>
      </c>
      <c r="HE28" s="194">
        <v>23</v>
      </c>
      <c r="HF28" s="183">
        <v>88</v>
      </c>
      <c r="HG28" s="193" t="e">
        <f t="shared" si="3"/>
        <v>#N/A</v>
      </c>
      <c r="HH28" s="192" t="e">
        <f t="shared" si="4"/>
        <v>#N/A</v>
      </c>
      <c r="HI28" s="198">
        <v>23</v>
      </c>
      <c r="HJ28" s="185">
        <v>90</v>
      </c>
      <c r="HK28" s="174">
        <v>26</v>
      </c>
      <c r="HL28" s="174">
        <v>200</v>
      </c>
      <c r="HM28" s="174">
        <v>160</v>
      </c>
      <c r="HN28" s="174">
        <v>144</v>
      </c>
      <c r="HO28" s="174">
        <v>138</v>
      </c>
      <c r="HP28" s="174">
        <v>132</v>
      </c>
      <c r="HQ28" s="174">
        <v>122</v>
      </c>
      <c r="HR28" s="174">
        <v>112</v>
      </c>
      <c r="HS28" s="174">
        <v>144</v>
      </c>
      <c r="HT28" s="174">
        <v>134</v>
      </c>
      <c r="HU28" s="174">
        <v>122</v>
      </c>
      <c r="HV28" s="174">
        <v>118</v>
      </c>
      <c r="HW28" s="174">
        <v>112</v>
      </c>
      <c r="HX28" s="174">
        <v>102</v>
      </c>
      <c r="HY28" s="174">
        <v>96</v>
      </c>
      <c r="HZ28" s="174">
        <v>86</v>
      </c>
      <c r="IA28" s="174">
        <v>108</v>
      </c>
      <c r="IB28" s="174">
        <v>92</v>
      </c>
      <c r="IC28" s="174">
        <v>82</v>
      </c>
      <c r="ID28" s="174">
        <v>56</v>
      </c>
      <c r="IE28" s="174">
        <v>36</v>
      </c>
      <c r="IF28" s="174">
        <v>28</v>
      </c>
      <c r="II28" s="174">
        <f>LARGE($II$40:$II$43,1)</f>
        <v>-21.009999999999998</v>
      </c>
      <c r="IJ28" s="174" t="str">
        <f>VLOOKUP(II28,$II$40:$IJ$43,2,0)</f>
        <v>Strikes 4</v>
      </c>
      <c r="IM28" s="174">
        <v>800000</v>
      </c>
      <c r="IN28" s="174">
        <v>26</v>
      </c>
    </row>
    <row r="29" spans="1:248" ht="13.35" customHeight="1" thickBot="1" x14ac:dyDescent="0.25">
      <c r="A29" s="183">
        <f t="shared" si="1"/>
        <v>28</v>
      </c>
      <c r="B29" s="184">
        <f t="shared" si="5"/>
        <v>-1</v>
      </c>
      <c r="C29" s="183">
        <f t="shared" si="2"/>
        <v>28</v>
      </c>
      <c r="E29" s="189" t="s">
        <v>622</v>
      </c>
      <c r="F29" s="190" t="s">
        <v>1037</v>
      </c>
      <c r="G29" s="190" t="s">
        <v>1037</v>
      </c>
      <c r="H29" s="190" t="s">
        <v>1031</v>
      </c>
      <c r="I29" s="190" t="s">
        <v>1038</v>
      </c>
      <c r="J29" s="190" t="s">
        <v>988</v>
      </c>
      <c r="K29" s="190" t="s">
        <v>1029</v>
      </c>
      <c r="L29" s="190" t="s">
        <v>1029</v>
      </c>
      <c r="M29" s="190" t="s">
        <v>1029</v>
      </c>
      <c r="N29" s="190" t="s">
        <v>1029</v>
      </c>
      <c r="O29" s="190" t="s">
        <v>1029</v>
      </c>
      <c r="P29" s="190" t="s">
        <v>1029</v>
      </c>
      <c r="Q29" s="190" t="s">
        <v>1029</v>
      </c>
      <c r="R29" s="190" t="s">
        <v>1029</v>
      </c>
      <c r="S29" s="190" t="s">
        <v>1029</v>
      </c>
      <c r="T29" s="190" t="s">
        <v>1039</v>
      </c>
      <c r="U29" s="190" t="s">
        <v>1039</v>
      </c>
      <c r="V29" s="190" t="s">
        <v>1039</v>
      </c>
      <c r="W29" s="190" t="s">
        <v>1039</v>
      </c>
      <c r="X29" s="190" t="s">
        <v>1039</v>
      </c>
      <c r="Y29" s="190" t="s">
        <v>1039</v>
      </c>
      <c r="Z29" s="190"/>
      <c r="AA29" s="190" t="s">
        <v>1007</v>
      </c>
      <c r="AB29" s="190" t="s">
        <v>1006</v>
      </c>
      <c r="AC29" s="190" t="s">
        <v>1029</v>
      </c>
      <c r="AD29" s="190" t="s">
        <v>1039</v>
      </c>
      <c r="AE29" s="190"/>
      <c r="AF29" s="190" t="s">
        <v>1029</v>
      </c>
      <c r="AG29" s="190" t="s">
        <v>1007</v>
      </c>
      <c r="AH29" s="190" t="s">
        <v>1039</v>
      </c>
      <c r="AI29" s="190"/>
      <c r="AJ29" s="190" t="s">
        <v>1039</v>
      </c>
      <c r="AK29" s="190" t="s">
        <v>1029</v>
      </c>
      <c r="AL29" s="190" t="s">
        <v>1029</v>
      </c>
      <c r="AM29" s="190" t="s">
        <v>1029</v>
      </c>
      <c r="AN29" s="190"/>
      <c r="AO29" s="190" t="s">
        <v>1029</v>
      </c>
      <c r="AP29" s="190" t="s">
        <v>1029</v>
      </c>
      <c r="AQ29" s="190" t="s">
        <v>1039</v>
      </c>
      <c r="AR29" s="190"/>
      <c r="AS29" s="190" t="s">
        <v>1029</v>
      </c>
      <c r="AT29" s="190" t="s">
        <v>1029</v>
      </c>
      <c r="AU29" s="190" t="s">
        <v>1029</v>
      </c>
      <c r="AV29" s="190" t="s">
        <v>1029</v>
      </c>
      <c r="AW29" s="190" t="s">
        <v>1029</v>
      </c>
      <c r="AX29" s="190" t="s">
        <v>1029</v>
      </c>
      <c r="AY29" s="190" t="s">
        <v>1029</v>
      </c>
      <c r="AZ29" s="190" t="s">
        <v>1029</v>
      </c>
      <c r="BA29" s="190" t="s">
        <v>1029</v>
      </c>
      <c r="BB29" s="190" t="s">
        <v>1029</v>
      </c>
      <c r="BC29" s="190" t="s">
        <v>1029</v>
      </c>
      <c r="BD29" s="190" t="s">
        <v>1029</v>
      </c>
      <c r="BE29" s="190" t="s">
        <v>1029</v>
      </c>
      <c r="BF29" s="190" t="s">
        <v>1029</v>
      </c>
      <c r="BG29" s="190" t="s">
        <v>1029</v>
      </c>
      <c r="BH29" s="190" t="s">
        <v>1029</v>
      </c>
      <c r="BI29" s="190" t="s">
        <v>1029</v>
      </c>
      <c r="BJ29" s="190" t="s">
        <v>1029</v>
      </c>
      <c r="BK29" s="190" t="s">
        <v>1029</v>
      </c>
      <c r="BL29" s="190" t="s">
        <v>1029</v>
      </c>
      <c r="BM29" s="190" t="s">
        <v>1029</v>
      </c>
      <c r="BN29" s="190" t="s">
        <v>1029</v>
      </c>
      <c r="BO29" s="190" t="s">
        <v>1029</v>
      </c>
      <c r="BP29" s="190" t="s">
        <v>1029</v>
      </c>
      <c r="BQ29" s="190" t="s">
        <v>1029</v>
      </c>
      <c r="BR29" s="190" t="s">
        <v>1029</v>
      </c>
      <c r="BS29" s="190" t="s">
        <v>1029</v>
      </c>
      <c r="BT29" s="190" t="s">
        <v>1029</v>
      </c>
      <c r="BU29" s="190" t="s">
        <v>1029</v>
      </c>
      <c r="BV29" s="190" t="s">
        <v>1029</v>
      </c>
      <c r="BW29" s="190" t="s">
        <v>1029</v>
      </c>
      <c r="BX29" s="190" t="s">
        <v>1029</v>
      </c>
      <c r="BY29" s="190" t="s">
        <v>1029</v>
      </c>
      <c r="BZ29" s="190" t="s">
        <v>1029</v>
      </c>
      <c r="CA29" s="190" t="s">
        <v>1029</v>
      </c>
      <c r="CB29" s="190" t="s">
        <v>1029</v>
      </c>
      <c r="CC29" s="190" t="s">
        <v>1029</v>
      </c>
      <c r="CD29" s="190" t="s">
        <v>1029</v>
      </c>
      <c r="CE29" s="190" t="s">
        <v>1029</v>
      </c>
      <c r="CF29" s="190" t="s">
        <v>1029</v>
      </c>
      <c r="CG29" s="190" t="s">
        <v>1029</v>
      </c>
      <c r="CH29" s="190" t="s">
        <v>1029</v>
      </c>
      <c r="CI29" s="190" t="s">
        <v>1029</v>
      </c>
      <c r="CJ29" s="190" t="s">
        <v>1029</v>
      </c>
      <c r="CK29" s="190" t="s">
        <v>1029</v>
      </c>
      <c r="CL29" s="190" t="s">
        <v>1029</v>
      </c>
      <c r="CM29" s="190" t="s">
        <v>1029</v>
      </c>
      <c r="CN29" s="190" t="s">
        <v>1029</v>
      </c>
      <c r="CO29" s="190" t="s">
        <v>1029</v>
      </c>
      <c r="CP29" s="190" t="s">
        <v>1029</v>
      </c>
      <c r="CQ29" s="190" t="s">
        <v>1029</v>
      </c>
      <c r="CR29" s="190"/>
      <c r="CS29" s="190" t="s">
        <v>1037</v>
      </c>
      <c r="CT29" s="190" t="s">
        <v>1037</v>
      </c>
      <c r="CU29" s="190" t="s">
        <v>930</v>
      </c>
      <c r="CV29" s="190" t="s">
        <v>1038</v>
      </c>
      <c r="CW29" s="190"/>
      <c r="CX29" s="190" t="s">
        <v>1039</v>
      </c>
      <c r="CY29" s="190" t="s">
        <v>1029</v>
      </c>
      <c r="CZ29" s="190" t="s">
        <v>1029</v>
      </c>
      <c r="DA29" s="190" t="s">
        <v>1037</v>
      </c>
      <c r="DB29" s="190" t="s">
        <v>1029</v>
      </c>
      <c r="DC29" s="190" t="s">
        <v>1029</v>
      </c>
      <c r="DD29" s="190" t="s">
        <v>1029</v>
      </c>
      <c r="DE29" s="190"/>
      <c r="DF29" s="174">
        <v>28</v>
      </c>
      <c r="DH29" s="174" t="s">
        <v>1059</v>
      </c>
      <c r="DI29" s="174" t="s">
        <v>980</v>
      </c>
      <c r="DJ29" s="174">
        <v>6</v>
      </c>
      <c r="DK29" s="174">
        <v>-2</v>
      </c>
      <c r="DL29" s="174">
        <v>-2</v>
      </c>
      <c r="DM29" s="174">
        <v>-2</v>
      </c>
      <c r="DN29" s="174">
        <v>-2</v>
      </c>
      <c r="DO29" s="174">
        <v>6</v>
      </c>
      <c r="DP29" s="174">
        <v>-2</v>
      </c>
      <c r="DQ29" s="174">
        <v>-2</v>
      </c>
      <c r="DR29" s="174">
        <v>-2</v>
      </c>
      <c r="DS29" s="174">
        <v>-2</v>
      </c>
      <c r="DT29" s="174">
        <v>10</v>
      </c>
      <c r="DV29" s="174">
        <v>10</v>
      </c>
      <c r="DW29" s="174">
        <v>10</v>
      </c>
      <c r="DX29" s="174">
        <v>25</v>
      </c>
      <c r="DY29" s="174">
        <v>3</v>
      </c>
      <c r="DZ29" s="174">
        <v>4</v>
      </c>
      <c r="EA29" s="174">
        <v>0.5</v>
      </c>
      <c r="EB29" s="174">
        <f>DZ29*10</f>
        <v>40</v>
      </c>
      <c r="ED29" s="174" t="s">
        <v>980</v>
      </c>
      <c r="EE29" s="174">
        <v>3211</v>
      </c>
      <c r="EF29" s="174">
        <v>3211</v>
      </c>
      <c r="EG29" s="174">
        <v>3211</v>
      </c>
      <c r="EH29" s="174">
        <v>3211</v>
      </c>
      <c r="EI29" s="174">
        <v>3211</v>
      </c>
      <c r="EJ29" s="174">
        <v>3211</v>
      </c>
      <c r="EK29" s="174">
        <v>3211</v>
      </c>
      <c r="EL29" s="174">
        <v>9853</v>
      </c>
      <c r="EN29" s="182" t="s">
        <v>1060</v>
      </c>
      <c r="EO29" s="174">
        <v>1</v>
      </c>
      <c r="EP29" s="174">
        <v>2</v>
      </c>
      <c r="EQ29" s="174">
        <v>1</v>
      </c>
      <c r="EZ29" s="174">
        <v>1</v>
      </c>
      <c r="FA29" s="174">
        <v>1</v>
      </c>
      <c r="FC29" s="174">
        <v>2</v>
      </c>
      <c r="FD29" s="174">
        <v>4</v>
      </c>
      <c r="FE29" s="174">
        <v>3</v>
      </c>
      <c r="FF29" s="174">
        <v>2</v>
      </c>
      <c r="FJ29" s="174">
        <v>2</v>
      </c>
      <c r="FN29" s="174">
        <v>1</v>
      </c>
      <c r="FO29" s="174">
        <v>4</v>
      </c>
      <c r="FP29" s="174">
        <v>1</v>
      </c>
      <c r="FQ29" s="174">
        <v>1</v>
      </c>
      <c r="FS29" s="174">
        <v>5</v>
      </c>
      <c r="FT29" s="174">
        <v>5</v>
      </c>
      <c r="FU29" s="174">
        <v>5</v>
      </c>
      <c r="FV29" s="174">
        <v>4</v>
      </c>
      <c r="FW29" s="174">
        <v>4</v>
      </c>
      <c r="FX29" s="174">
        <v>4</v>
      </c>
      <c r="FY29" s="174">
        <v>3</v>
      </c>
      <c r="FZ29" s="174">
        <v>1</v>
      </c>
      <c r="GL29" s="174">
        <v>1</v>
      </c>
      <c r="GM29" s="174">
        <v>3</v>
      </c>
      <c r="GQ29" s="174">
        <v>2</v>
      </c>
      <c r="GR29" s="174">
        <v>2</v>
      </c>
      <c r="HA29" s="174">
        <v>28</v>
      </c>
      <c r="HB29" s="197">
        <v>26</v>
      </c>
      <c r="HC29" s="183">
        <v>33</v>
      </c>
      <c r="HD29" s="183">
        <v>56</v>
      </c>
      <c r="HE29" s="194">
        <v>23</v>
      </c>
      <c r="HF29" s="183">
        <v>89</v>
      </c>
      <c r="HG29" s="193" t="e">
        <f t="shared" si="3"/>
        <v>#N/A</v>
      </c>
      <c r="HH29" s="192" t="e">
        <f t="shared" si="4"/>
        <v>#N/A</v>
      </c>
      <c r="HI29" s="198">
        <v>23</v>
      </c>
      <c r="HJ29" s="185">
        <v>92</v>
      </c>
      <c r="HK29" s="174">
        <v>27</v>
      </c>
      <c r="HL29" s="174">
        <v>205</v>
      </c>
      <c r="HM29" s="174">
        <v>165</v>
      </c>
      <c r="HN29" s="174">
        <v>148</v>
      </c>
      <c r="HO29" s="174">
        <v>141</v>
      </c>
      <c r="HP29" s="174">
        <v>134</v>
      </c>
      <c r="HQ29" s="174">
        <v>124</v>
      </c>
      <c r="HR29" s="174">
        <v>114</v>
      </c>
      <c r="HS29" s="174">
        <v>148</v>
      </c>
      <c r="HT29" s="174">
        <v>138</v>
      </c>
      <c r="HU29" s="174">
        <v>124</v>
      </c>
      <c r="HV29" s="174">
        <v>121</v>
      </c>
      <c r="HW29" s="174">
        <v>114</v>
      </c>
      <c r="HX29" s="174">
        <v>104</v>
      </c>
      <c r="HY29" s="174">
        <v>97</v>
      </c>
      <c r="HZ29" s="174">
        <v>87</v>
      </c>
      <c r="IA29" s="174">
        <v>111</v>
      </c>
      <c r="IB29" s="174">
        <v>94</v>
      </c>
      <c r="IC29" s="174">
        <v>84</v>
      </c>
      <c r="ID29" s="174">
        <v>57</v>
      </c>
      <c r="IE29" s="174">
        <v>37</v>
      </c>
      <c r="IF29" s="174">
        <v>29</v>
      </c>
      <c r="II29" s="174">
        <f>LARGE($II$40:$II$43,2)</f>
        <v>-21.009999999999998</v>
      </c>
      <c r="IJ29" s="174" t="str">
        <f>VLOOKUP(II29,$II$40:$IJ$43,2,0)</f>
        <v>Strikes 4</v>
      </c>
      <c r="IM29" s="174">
        <v>850000</v>
      </c>
      <c r="IN29" s="174">
        <v>27</v>
      </c>
    </row>
    <row r="30" spans="1:248" ht="13.35" customHeight="1" thickBot="1" x14ac:dyDescent="0.25">
      <c r="A30" s="183">
        <f t="shared" si="1"/>
        <v>29</v>
      </c>
      <c r="B30" s="184">
        <f t="shared" si="5"/>
        <v>-1</v>
      </c>
      <c r="C30" s="183">
        <f t="shared" si="2"/>
        <v>29</v>
      </c>
      <c r="E30" s="189" t="s">
        <v>626</v>
      </c>
      <c r="F30" s="190" t="s">
        <v>1042</v>
      </c>
      <c r="G30" s="190" t="s">
        <v>1030</v>
      </c>
      <c r="H30" s="190" t="s">
        <v>1031</v>
      </c>
      <c r="I30" s="190" t="s">
        <v>1030</v>
      </c>
      <c r="J30" s="190" t="s">
        <v>930</v>
      </c>
      <c r="K30" s="190" t="s">
        <v>1005</v>
      </c>
      <c r="L30" s="190" t="s">
        <v>1005</v>
      </c>
      <c r="M30" s="190" t="s">
        <v>1005</v>
      </c>
      <c r="N30" s="190" t="s">
        <v>1005</v>
      </c>
      <c r="O30" s="190" t="s">
        <v>1005</v>
      </c>
      <c r="P30" s="190" t="s">
        <v>1005</v>
      </c>
      <c r="Q30" s="190" t="s">
        <v>1002</v>
      </c>
      <c r="R30" s="190" t="s">
        <v>1002</v>
      </c>
      <c r="S30" s="190" t="s">
        <v>1002</v>
      </c>
      <c r="T30" s="190" t="s">
        <v>988</v>
      </c>
      <c r="U30" s="190" t="s">
        <v>988</v>
      </c>
      <c r="V30" s="190" t="s">
        <v>988</v>
      </c>
      <c r="W30" s="190" t="s">
        <v>988</v>
      </c>
      <c r="X30" s="190" t="s">
        <v>988</v>
      </c>
      <c r="Y30" s="190" t="s">
        <v>988</v>
      </c>
      <c r="Z30" s="190"/>
      <c r="AA30" s="190" t="s">
        <v>1005</v>
      </c>
      <c r="AB30" s="190" t="s">
        <v>1005</v>
      </c>
      <c r="AC30" s="190" t="s">
        <v>988</v>
      </c>
      <c r="AD30" s="190" t="s">
        <v>988</v>
      </c>
      <c r="AE30" s="190"/>
      <c r="AF30" s="190" t="s">
        <v>1005</v>
      </c>
      <c r="AG30" s="190" t="s">
        <v>1029</v>
      </c>
      <c r="AH30" s="190" t="s">
        <v>988</v>
      </c>
      <c r="AI30" s="190"/>
      <c r="AJ30" s="190" t="s">
        <v>988</v>
      </c>
      <c r="AK30" s="190" t="s">
        <v>1002</v>
      </c>
      <c r="AL30" s="190" t="s">
        <v>1029</v>
      </c>
      <c r="AM30" s="190" t="s">
        <v>1002</v>
      </c>
      <c r="AN30" s="190"/>
      <c r="AO30" s="190" t="s">
        <v>1002</v>
      </c>
      <c r="AP30" s="190" t="s">
        <v>1002</v>
      </c>
      <c r="AQ30" s="190" t="s">
        <v>988</v>
      </c>
      <c r="AR30" s="190"/>
      <c r="AS30" s="190" t="s">
        <v>1005</v>
      </c>
      <c r="AT30" s="190" t="s">
        <v>1005</v>
      </c>
      <c r="AU30" s="190" t="s">
        <v>1005</v>
      </c>
      <c r="AV30" s="190" t="s">
        <v>1005</v>
      </c>
      <c r="AW30" s="190" t="s">
        <v>1005</v>
      </c>
      <c r="AX30" s="190" t="s">
        <v>1005</v>
      </c>
      <c r="AY30" s="190" t="s">
        <v>1005</v>
      </c>
      <c r="AZ30" s="190" t="s">
        <v>1005</v>
      </c>
      <c r="BA30" s="190" t="s">
        <v>1005</v>
      </c>
      <c r="BB30" s="190" t="s">
        <v>1005</v>
      </c>
      <c r="BC30" s="190" t="s">
        <v>1005</v>
      </c>
      <c r="BD30" s="190" t="s">
        <v>1005</v>
      </c>
      <c r="BE30" s="190" t="s">
        <v>1005</v>
      </c>
      <c r="BF30" s="190" t="s">
        <v>1005</v>
      </c>
      <c r="BG30" s="190" t="s">
        <v>1005</v>
      </c>
      <c r="BH30" s="190" t="s">
        <v>1005</v>
      </c>
      <c r="BI30" s="190" t="s">
        <v>1005</v>
      </c>
      <c r="BJ30" s="190" t="s">
        <v>1005</v>
      </c>
      <c r="BK30" s="190" t="s">
        <v>1005</v>
      </c>
      <c r="BL30" s="190" t="s">
        <v>1005</v>
      </c>
      <c r="BM30" s="190" t="s">
        <v>1005</v>
      </c>
      <c r="BN30" s="190" t="s">
        <v>1005</v>
      </c>
      <c r="BO30" s="190" t="s">
        <v>1005</v>
      </c>
      <c r="BP30" s="190" t="s">
        <v>1005</v>
      </c>
      <c r="BQ30" s="190" t="s">
        <v>1005</v>
      </c>
      <c r="BR30" s="190" t="s">
        <v>1005</v>
      </c>
      <c r="BS30" s="190" t="s">
        <v>1005</v>
      </c>
      <c r="BT30" s="190" t="s">
        <v>1005</v>
      </c>
      <c r="BU30" s="190" t="s">
        <v>1005</v>
      </c>
      <c r="BV30" s="190" t="s">
        <v>1005</v>
      </c>
      <c r="BW30" s="190" t="s">
        <v>1005</v>
      </c>
      <c r="BX30" s="190" t="s">
        <v>1005</v>
      </c>
      <c r="BY30" s="190" t="s">
        <v>1005</v>
      </c>
      <c r="BZ30" s="190" t="s">
        <v>1005</v>
      </c>
      <c r="CA30" s="190" t="s">
        <v>1005</v>
      </c>
      <c r="CB30" s="190" t="s">
        <v>1005</v>
      </c>
      <c r="CC30" s="190" t="s">
        <v>1005</v>
      </c>
      <c r="CD30" s="190" t="s">
        <v>1005</v>
      </c>
      <c r="CE30" s="190" t="s">
        <v>1005</v>
      </c>
      <c r="CF30" s="190" t="s">
        <v>1005</v>
      </c>
      <c r="CG30" s="190" t="s">
        <v>1005</v>
      </c>
      <c r="CH30" s="190" t="s">
        <v>1005</v>
      </c>
      <c r="CI30" s="190" t="s">
        <v>1005</v>
      </c>
      <c r="CJ30" s="190" t="s">
        <v>1005</v>
      </c>
      <c r="CK30" s="190" t="s">
        <v>1005</v>
      </c>
      <c r="CL30" s="190" t="s">
        <v>1005</v>
      </c>
      <c r="CM30" s="190" t="s">
        <v>1005</v>
      </c>
      <c r="CN30" s="190" t="s">
        <v>1005</v>
      </c>
      <c r="CO30" s="190" t="s">
        <v>1005</v>
      </c>
      <c r="CP30" s="190" t="s">
        <v>1005</v>
      </c>
      <c r="CQ30" s="190" t="s">
        <v>1005</v>
      </c>
      <c r="CR30" s="190"/>
      <c r="CS30" s="190" t="s">
        <v>1042</v>
      </c>
      <c r="CT30" s="190" t="s">
        <v>1030</v>
      </c>
      <c r="CU30" s="190" t="s">
        <v>1031</v>
      </c>
      <c r="CV30" s="190" t="s">
        <v>1038</v>
      </c>
      <c r="CW30" s="190"/>
      <c r="CX30" s="190" t="s">
        <v>988</v>
      </c>
      <c r="CY30" s="190" t="s">
        <v>1029</v>
      </c>
      <c r="CZ30" s="190" t="s">
        <v>1005</v>
      </c>
      <c r="DA30" s="190" t="s">
        <v>1042</v>
      </c>
      <c r="DB30" s="190" t="s">
        <v>1005</v>
      </c>
      <c r="DC30" s="190" t="s">
        <v>1005</v>
      </c>
      <c r="DD30" s="190" t="s">
        <v>1005</v>
      </c>
      <c r="DE30" s="190"/>
      <c r="DF30" s="174">
        <v>29</v>
      </c>
      <c r="DH30" s="182" t="s">
        <v>1024</v>
      </c>
      <c r="DI30" s="182" t="s">
        <v>958</v>
      </c>
      <c r="DJ30" s="182"/>
      <c r="DK30" s="182"/>
      <c r="DL30" s="182">
        <v>2</v>
      </c>
      <c r="DM30" s="182"/>
      <c r="DN30" s="182"/>
      <c r="DO30" s="182">
        <v>2</v>
      </c>
      <c r="DP30" s="182"/>
      <c r="DQ30" s="182"/>
      <c r="DR30" s="182"/>
      <c r="DS30" s="182"/>
      <c r="DT30" s="182"/>
      <c r="DU30" s="182"/>
      <c r="DV30" s="182"/>
      <c r="DW30" s="182"/>
      <c r="DX30" s="182"/>
      <c r="DY30" s="182">
        <v>12</v>
      </c>
      <c r="DZ30" s="182">
        <v>6</v>
      </c>
      <c r="EA30" s="182">
        <v>1</v>
      </c>
      <c r="EB30" s="182">
        <v>55</v>
      </c>
      <c r="ED30" s="174" t="s">
        <v>958</v>
      </c>
      <c r="EE30" s="174">
        <v>6543</v>
      </c>
      <c r="EF30" s="174">
        <v>6543</v>
      </c>
      <c r="EG30" s="174">
        <v>7654</v>
      </c>
      <c r="EH30" s="174">
        <v>6543</v>
      </c>
      <c r="EI30" s="174">
        <v>6543</v>
      </c>
      <c r="EJ30" s="174">
        <v>6543</v>
      </c>
      <c r="EK30" s="174">
        <v>6543</v>
      </c>
      <c r="EL30" s="174">
        <v>6521</v>
      </c>
      <c r="EN30" s="174" t="s">
        <v>677</v>
      </c>
      <c r="EO30" s="174">
        <v>1</v>
      </c>
      <c r="EP30" s="174">
        <v>2</v>
      </c>
      <c r="EQ30" s="174">
        <v>1</v>
      </c>
      <c r="EZ30" s="174">
        <v>1</v>
      </c>
      <c r="FA30" s="174">
        <v>1</v>
      </c>
      <c r="FC30" s="174">
        <v>2</v>
      </c>
      <c r="FD30" s="174">
        <v>4</v>
      </c>
      <c r="FE30" s="174">
        <v>3</v>
      </c>
      <c r="FF30" s="174">
        <v>2</v>
      </c>
      <c r="FJ30" s="174">
        <v>2</v>
      </c>
      <c r="FN30" s="174">
        <v>1</v>
      </c>
      <c r="FO30" s="174">
        <v>4</v>
      </c>
      <c r="FP30" s="174">
        <v>1</v>
      </c>
      <c r="FQ30" s="174">
        <v>1</v>
      </c>
      <c r="FS30" s="174">
        <v>5</v>
      </c>
      <c r="FT30" s="174">
        <v>5</v>
      </c>
      <c r="FU30" s="174">
        <v>5</v>
      </c>
      <c r="FV30" s="174">
        <v>4</v>
      </c>
      <c r="FW30" s="174">
        <v>4</v>
      </c>
      <c r="FX30" s="174">
        <v>4</v>
      </c>
      <c r="FY30" s="174">
        <v>3</v>
      </c>
      <c r="FZ30" s="174">
        <v>1</v>
      </c>
      <c r="GL30" s="174">
        <v>1</v>
      </c>
      <c r="GM30" s="174">
        <v>3</v>
      </c>
      <c r="GQ30" s="174">
        <v>3</v>
      </c>
      <c r="GR30" s="174">
        <v>2</v>
      </c>
      <c r="HA30" s="174">
        <v>29</v>
      </c>
      <c r="HB30" s="197">
        <v>27</v>
      </c>
      <c r="HC30" s="183">
        <v>34</v>
      </c>
      <c r="HD30" s="183">
        <v>57</v>
      </c>
      <c r="HE30" s="194">
        <v>24</v>
      </c>
      <c r="HF30" s="183">
        <v>91</v>
      </c>
      <c r="HG30" s="193" t="e">
        <f t="shared" si="3"/>
        <v>#N/A</v>
      </c>
      <c r="HH30" s="192" t="e">
        <f t="shared" si="4"/>
        <v>#N/A</v>
      </c>
      <c r="HI30" s="198">
        <v>24</v>
      </c>
      <c r="HJ30" s="185">
        <v>94</v>
      </c>
      <c r="HK30" s="174">
        <v>28</v>
      </c>
      <c r="HL30" s="174">
        <v>210</v>
      </c>
      <c r="HM30" s="174">
        <v>170</v>
      </c>
      <c r="HN30" s="174">
        <v>152</v>
      </c>
      <c r="HO30" s="174">
        <v>144</v>
      </c>
      <c r="HP30" s="174">
        <v>136</v>
      </c>
      <c r="HQ30" s="174">
        <v>126</v>
      </c>
      <c r="HR30" s="174">
        <v>116</v>
      </c>
      <c r="HS30" s="174">
        <v>152</v>
      </c>
      <c r="HT30" s="174">
        <v>142</v>
      </c>
      <c r="HU30" s="174">
        <v>126</v>
      </c>
      <c r="HV30" s="174">
        <v>124</v>
      </c>
      <c r="HW30" s="174">
        <v>116</v>
      </c>
      <c r="HX30" s="174">
        <v>106</v>
      </c>
      <c r="HY30" s="174">
        <v>98</v>
      </c>
      <c r="HZ30" s="174">
        <v>88</v>
      </c>
      <c r="IA30" s="174">
        <v>114</v>
      </c>
      <c r="IB30" s="174">
        <v>96</v>
      </c>
      <c r="IC30" s="174">
        <v>86</v>
      </c>
      <c r="ID30" s="174">
        <v>58</v>
      </c>
      <c r="IE30" s="174">
        <v>38</v>
      </c>
      <c r="IF30" s="174">
        <v>30</v>
      </c>
      <c r="II30" s="174">
        <f>LARGE($II$40:$II$43,3)</f>
        <v>-27.009999999999998</v>
      </c>
      <c r="IJ30" s="174" t="str">
        <f>VLOOKUP(II30,$II$40:$IJ$43,2,0)</f>
        <v>Strikes 2</v>
      </c>
      <c r="IM30" s="174">
        <v>900000</v>
      </c>
      <c r="IN30" s="174">
        <v>28</v>
      </c>
    </row>
    <row r="31" spans="1:248" ht="13.35" customHeight="1" thickBot="1" x14ac:dyDescent="0.25">
      <c r="A31" s="183">
        <f t="shared" si="1"/>
        <v>30</v>
      </c>
      <c r="B31" s="184">
        <f t="shared" si="5"/>
        <v>-1</v>
      </c>
      <c r="C31" s="183">
        <f t="shared" si="2"/>
        <v>30</v>
      </c>
      <c r="E31" s="189" t="s">
        <v>627</v>
      </c>
      <c r="F31" s="190" t="s">
        <v>1001</v>
      </c>
      <c r="G31" s="190" t="s">
        <v>1001</v>
      </c>
      <c r="H31" s="190" t="s">
        <v>1001</v>
      </c>
      <c r="I31" s="190" t="s">
        <v>995</v>
      </c>
      <c r="J31" s="190" t="s">
        <v>991</v>
      </c>
      <c r="K31" s="190" t="s">
        <v>994</v>
      </c>
      <c r="L31" s="190" t="s">
        <v>994</v>
      </c>
      <c r="M31" s="190" t="s">
        <v>994</v>
      </c>
      <c r="N31" s="190" t="s">
        <v>994</v>
      </c>
      <c r="O31" s="190" t="s">
        <v>994</v>
      </c>
      <c r="P31" s="190" t="s">
        <v>994</v>
      </c>
      <c r="Q31" s="190" t="s">
        <v>994</v>
      </c>
      <c r="R31" s="190" t="s">
        <v>994</v>
      </c>
      <c r="S31" s="190" t="s">
        <v>994</v>
      </c>
      <c r="T31" s="190" t="s">
        <v>991</v>
      </c>
      <c r="U31" s="190" t="s">
        <v>991</v>
      </c>
      <c r="V31" s="190" t="s">
        <v>991</v>
      </c>
      <c r="W31" s="190" t="s">
        <v>991</v>
      </c>
      <c r="X31" s="190" t="s">
        <v>991</v>
      </c>
      <c r="Y31" s="190" t="s">
        <v>991</v>
      </c>
      <c r="Z31" s="190"/>
      <c r="AA31" s="190" t="s">
        <v>994</v>
      </c>
      <c r="AB31" s="190" t="s">
        <v>994</v>
      </c>
      <c r="AC31" s="190" t="s">
        <v>992</v>
      </c>
      <c r="AD31" s="190" t="s">
        <v>992</v>
      </c>
      <c r="AE31" s="190"/>
      <c r="AF31" s="190" t="s">
        <v>994</v>
      </c>
      <c r="AG31" s="190" t="s">
        <v>994</v>
      </c>
      <c r="AH31" s="190" t="s">
        <v>991</v>
      </c>
      <c r="AI31" s="190"/>
      <c r="AJ31" s="190" t="s">
        <v>991</v>
      </c>
      <c r="AK31" s="190" t="s">
        <v>994</v>
      </c>
      <c r="AL31" s="190" t="s">
        <v>994</v>
      </c>
      <c r="AM31" s="190" t="s">
        <v>994</v>
      </c>
      <c r="AN31" s="190"/>
      <c r="AO31" s="190" t="s">
        <v>994</v>
      </c>
      <c r="AP31" s="190" t="s">
        <v>994</v>
      </c>
      <c r="AQ31" s="190" t="s">
        <v>991</v>
      </c>
      <c r="AR31" s="190"/>
      <c r="AS31" s="190" t="s">
        <v>994</v>
      </c>
      <c r="AT31" s="190" t="s">
        <v>994</v>
      </c>
      <c r="AU31" s="190" t="s">
        <v>994</v>
      </c>
      <c r="AV31" s="190" t="s">
        <v>994</v>
      </c>
      <c r="AW31" s="190" t="s">
        <v>994</v>
      </c>
      <c r="AX31" s="190" t="s">
        <v>994</v>
      </c>
      <c r="AY31" s="190" t="s">
        <v>994</v>
      </c>
      <c r="AZ31" s="190" t="s">
        <v>994</v>
      </c>
      <c r="BA31" s="190" t="s">
        <v>994</v>
      </c>
      <c r="BB31" s="190" t="s">
        <v>994</v>
      </c>
      <c r="BC31" s="190" t="s">
        <v>994</v>
      </c>
      <c r="BD31" s="190" t="s">
        <v>994</v>
      </c>
      <c r="BE31" s="190" t="s">
        <v>994</v>
      </c>
      <c r="BF31" s="190" t="s">
        <v>994</v>
      </c>
      <c r="BG31" s="190" t="s">
        <v>994</v>
      </c>
      <c r="BH31" s="190" t="s">
        <v>994</v>
      </c>
      <c r="BI31" s="190" t="s">
        <v>994</v>
      </c>
      <c r="BJ31" s="190" t="s">
        <v>994</v>
      </c>
      <c r="BK31" s="190" t="s">
        <v>994</v>
      </c>
      <c r="BL31" s="190" t="s">
        <v>994</v>
      </c>
      <c r="BM31" s="190" t="s">
        <v>994</v>
      </c>
      <c r="BN31" s="190" t="s">
        <v>994</v>
      </c>
      <c r="BO31" s="190" t="s">
        <v>994</v>
      </c>
      <c r="BP31" s="190" t="s">
        <v>994</v>
      </c>
      <c r="BQ31" s="190" t="s">
        <v>994</v>
      </c>
      <c r="BR31" s="190" t="s">
        <v>994</v>
      </c>
      <c r="BS31" s="190" t="s">
        <v>994</v>
      </c>
      <c r="BT31" s="190" t="s">
        <v>994</v>
      </c>
      <c r="BU31" s="190" t="s">
        <v>994</v>
      </c>
      <c r="BV31" s="190" t="s">
        <v>994</v>
      </c>
      <c r="BW31" s="190" t="s">
        <v>994</v>
      </c>
      <c r="BX31" s="190" t="s">
        <v>994</v>
      </c>
      <c r="BY31" s="190" t="s">
        <v>994</v>
      </c>
      <c r="BZ31" s="190" t="s">
        <v>994</v>
      </c>
      <c r="CA31" s="190" t="s">
        <v>994</v>
      </c>
      <c r="CB31" s="190" t="s">
        <v>994</v>
      </c>
      <c r="CC31" s="190" t="s">
        <v>994</v>
      </c>
      <c r="CD31" s="190" t="s">
        <v>994</v>
      </c>
      <c r="CE31" s="190" t="s">
        <v>994</v>
      </c>
      <c r="CF31" s="190" t="s">
        <v>994</v>
      </c>
      <c r="CG31" s="190" t="s">
        <v>994</v>
      </c>
      <c r="CH31" s="190" t="s">
        <v>994</v>
      </c>
      <c r="CI31" s="190" t="s">
        <v>994</v>
      </c>
      <c r="CJ31" s="190" t="s">
        <v>994</v>
      </c>
      <c r="CK31" s="190" t="s">
        <v>994</v>
      </c>
      <c r="CL31" s="190" t="s">
        <v>994</v>
      </c>
      <c r="CM31" s="190" t="s">
        <v>994</v>
      </c>
      <c r="CN31" s="190" t="s">
        <v>994</v>
      </c>
      <c r="CO31" s="190" t="s">
        <v>994</v>
      </c>
      <c r="CP31" s="190" t="s">
        <v>994</v>
      </c>
      <c r="CQ31" s="190" t="s">
        <v>994</v>
      </c>
      <c r="CR31" s="190"/>
      <c r="CS31" s="190" t="s">
        <v>1006</v>
      </c>
      <c r="CT31" s="190" t="s">
        <v>1001</v>
      </c>
      <c r="CU31" s="190" t="s">
        <v>996</v>
      </c>
      <c r="CV31" s="190" t="s">
        <v>1001</v>
      </c>
      <c r="CW31" s="190"/>
      <c r="CX31" s="190" t="s">
        <v>991</v>
      </c>
      <c r="CY31" s="190" t="s">
        <v>994</v>
      </c>
      <c r="CZ31" s="190" t="s">
        <v>994</v>
      </c>
      <c r="DA31" s="190" t="s">
        <v>1006</v>
      </c>
      <c r="DB31" s="190" t="s">
        <v>999</v>
      </c>
      <c r="DC31" s="190" t="s">
        <v>994</v>
      </c>
      <c r="DD31" s="190" t="s">
        <v>994</v>
      </c>
      <c r="DE31" s="190"/>
      <c r="DF31" s="174">
        <v>30</v>
      </c>
      <c r="DH31" s="182" t="s">
        <v>1034</v>
      </c>
      <c r="DI31" s="182" t="s">
        <v>959</v>
      </c>
      <c r="DJ31" s="182">
        <v>2</v>
      </c>
      <c r="DK31" s="182">
        <v>2</v>
      </c>
      <c r="DL31" s="182"/>
      <c r="DM31" s="182"/>
      <c r="DN31" s="182"/>
      <c r="DO31" s="182">
        <v>2</v>
      </c>
      <c r="DP31" s="182">
        <v>2</v>
      </c>
      <c r="DQ31" s="182">
        <v>-2</v>
      </c>
      <c r="DR31" s="182">
        <v>2</v>
      </c>
      <c r="DS31" s="182">
        <v>-2</v>
      </c>
      <c r="DT31" s="182"/>
      <c r="DU31" s="182"/>
      <c r="DV31" s="182"/>
      <c r="DW31" s="182"/>
      <c r="DX31" s="182"/>
      <c r="DY31" s="182">
        <v>12</v>
      </c>
      <c r="DZ31" s="182">
        <v>5</v>
      </c>
      <c r="EA31" s="182">
        <v>1</v>
      </c>
      <c r="EB31" s="182">
        <v>45</v>
      </c>
      <c r="ED31" s="174" t="s">
        <v>959</v>
      </c>
      <c r="EE31" s="174">
        <v>6543</v>
      </c>
      <c r="EF31" s="174">
        <v>6543</v>
      </c>
      <c r="EG31" s="174">
        <v>7654</v>
      </c>
      <c r="EH31" s="174">
        <v>6543</v>
      </c>
      <c r="EI31" s="174">
        <v>6543</v>
      </c>
      <c r="EJ31" s="174">
        <v>6543</v>
      </c>
      <c r="EK31" s="174">
        <v>6543</v>
      </c>
      <c r="EL31" s="174">
        <v>6421</v>
      </c>
      <c r="EN31" s="174" t="s">
        <v>675</v>
      </c>
      <c r="EO31" s="174">
        <v>1</v>
      </c>
      <c r="EP31" s="174">
        <v>2</v>
      </c>
      <c r="EQ31" s="174">
        <v>1</v>
      </c>
      <c r="EZ31" s="174">
        <v>1</v>
      </c>
      <c r="FA31" s="174">
        <v>1</v>
      </c>
      <c r="FC31" s="174">
        <v>2</v>
      </c>
      <c r="FD31" s="174">
        <v>4</v>
      </c>
      <c r="FE31" s="174">
        <v>3</v>
      </c>
      <c r="FF31" s="174">
        <v>2</v>
      </c>
      <c r="FJ31" s="174">
        <v>2</v>
      </c>
      <c r="FN31" s="174">
        <v>1</v>
      </c>
      <c r="FO31" s="174">
        <v>4</v>
      </c>
      <c r="FP31" s="174">
        <v>1</v>
      </c>
      <c r="FQ31" s="174">
        <v>1</v>
      </c>
      <c r="FS31" s="174">
        <v>5</v>
      </c>
      <c r="FT31" s="174">
        <v>5</v>
      </c>
      <c r="FU31" s="174">
        <v>5</v>
      </c>
      <c r="FV31" s="174">
        <v>4</v>
      </c>
      <c r="FW31" s="174">
        <v>4</v>
      </c>
      <c r="FX31" s="174">
        <v>4</v>
      </c>
      <c r="FY31" s="174">
        <v>3</v>
      </c>
      <c r="FZ31" s="174">
        <v>1</v>
      </c>
      <c r="GL31" s="174">
        <v>1</v>
      </c>
      <c r="GM31" s="174">
        <v>3</v>
      </c>
      <c r="GQ31" s="174">
        <v>3</v>
      </c>
      <c r="GR31" s="174">
        <v>2</v>
      </c>
      <c r="HA31" s="174">
        <v>30</v>
      </c>
      <c r="HB31" s="197">
        <v>28</v>
      </c>
      <c r="HC31" s="183">
        <v>34</v>
      </c>
      <c r="HD31" s="183">
        <v>58</v>
      </c>
      <c r="HE31" s="194">
        <v>24</v>
      </c>
      <c r="HF31" s="183">
        <v>92</v>
      </c>
      <c r="HG31" s="193" t="e">
        <f t="shared" si="3"/>
        <v>#N/A</v>
      </c>
      <c r="HH31" s="192" t="e">
        <f t="shared" si="4"/>
        <v>#N/A</v>
      </c>
      <c r="HI31" s="198">
        <v>24</v>
      </c>
      <c r="HJ31" s="185">
        <v>96</v>
      </c>
      <c r="HK31" s="174">
        <v>29</v>
      </c>
      <c r="HL31" s="174">
        <v>215</v>
      </c>
      <c r="HM31" s="174">
        <v>175</v>
      </c>
      <c r="HN31" s="174">
        <v>156</v>
      </c>
      <c r="HO31" s="174">
        <v>147</v>
      </c>
      <c r="HP31" s="174">
        <v>138</v>
      </c>
      <c r="HQ31" s="174">
        <v>128</v>
      </c>
      <c r="HR31" s="174">
        <v>118</v>
      </c>
      <c r="HS31" s="174">
        <v>156</v>
      </c>
      <c r="HT31" s="174">
        <v>146</v>
      </c>
      <c r="HU31" s="174">
        <v>128</v>
      </c>
      <c r="HV31" s="174">
        <v>127</v>
      </c>
      <c r="HW31" s="174">
        <v>118</v>
      </c>
      <c r="HX31" s="174">
        <v>108</v>
      </c>
      <c r="HY31" s="174">
        <v>99</v>
      </c>
      <c r="HZ31" s="174">
        <v>89</v>
      </c>
      <c r="IA31" s="174">
        <v>117</v>
      </c>
      <c r="IB31" s="174">
        <v>98</v>
      </c>
      <c r="IC31" s="174">
        <v>88</v>
      </c>
      <c r="ID31" s="174">
        <v>59</v>
      </c>
      <c r="IE31" s="174">
        <v>39</v>
      </c>
      <c r="IF31" s="174">
        <v>31</v>
      </c>
      <c r="II31" s="174">
        <f>LARGE($II$40:$II$43,4)</f>
        <v>-27.009999999999998</v>
      </c>
      <c r="IJ31" s="174" t="str">
        <f>VLOOKUP(II31,$II$40:$IJ$43,2,0)</f>
        <v>Strikes 2</v>
      </c>
      <c r="IM31" s="174">
        <v>950000</v>
      </c>
      <c r="IN31" s="174">
        <v>29</v>
      </c>
    </row>
    <row r="32" spans="1:248" ht="13.35" customHeight="1" thickBot="1" x14ac:dyDescent="0.25">
      <c r="A32" s="183">
        <f t="shared" si="1"/>
        <v>31</v>
      </c>
      <c r="B32" s="183">
        <v>0</v>
      </c>
      <c r="C32" s="183">
        <f t="shared" si="2"/>
        <v>31</v>
      </c>
      <c r="E32" s="189" t="s">
        <v>1061</v>
      </c>
      <c r="F32" s="190" t="s">
        <v>1031</v>
      </c>
      <c r="G32" s="190" t="s">
        <v>1031</v>
      </c>
      <c r="H32" s="190" t="s">
        <v>1031</v>
      </c>
      <c r="I32" s="190" t="s">
        <v>1031</v>
      </c>
      <c r="J32" s="190" t="s">
        <v>988</v>
      </c>
      <c r="K32" s="190" t="s">
        <v>1032</v>
      </c>
      <c r="L32" s="190" t="s">
        <v>1032</v>
      </c>
      <c r="M32" s="190" t="s">
        <v>1039</v>
      </c>
      <c r="N32" s="190" t="s">
        <v>1032</v>
      </c>
      <c r="O32" s="190" t="s">
        <v>1032</v>
      </c>
      <c r="P32" s="190" t="s">
        <v>1032</v>
      </c>
      <c r="Q32" s="190" t="s">
        <v>1032</v>
      </c>
      <c r="R32" s="190" t="s">
        <v>1032</v>
      </c>
      <c r="S32" s="190" t="s">
        <v>1032</v>
      </c>
      <c r="T32" s="190" t="s">
        <v>988</v>
      </c>
      <c r="U32" s="190" t="s">
        <v>988</v>
      </c>
      <c r="V32" s="190" t="s">
        <v>988</v>
      </c>
      <c r="W32" s="190" t="s">
        <v>988</v>
      </c>
      <c r="X32" s="190" t="s">
        <v>988</v>
      </c>
      <c r="Y32" s="190" t="s">
        <v>988</v>
      </c>
      <c r="Z32" s="190"/>
      <c r="AA32" s="190" t="s">
        <v>1039</v>
      </c>
      <c r="AB32" s="190" t="s">
        <v>1039</v>
      </c>
      <c r="AC32" s="190" t="s">
        <v>1032</v>
      </c>
      <c r="AD32" s="190" t="s">
        <v>988</v>
      </c>
      <c r="AE32" s="190"/>
      <c r="AF32" s="190" t="s">
        <v>1032</v>
      </c>
      <c r="AG32" s="190" t="s">
        <v>1032</v>
      </c>
      <c r="AH32" s="190" t="s">
        <v>988</v>
      </c>
      <c r="AI32" s="190"/>
      <c r="AJ32" s="190" t="s">
        <v>988</v>
      </c>
      <c r="AK32" s="190" t="s">
        <v>1032</v>
      </c>
      <c r="AL32" s="190" t="s">
        <v>1032</v>
      </c>
      <c r="AM32" s="190" t="s">
        <v>1032</v>
      </c>
      <c r="AN32" s="190"/>
      <c r="AO32" s="190" t="s">
        <v>1032</v>
      </c>
      <c r="AP32" s="190" t="s">
        <v>1032</v>
      </c>
      <c r="AQ32" s="190" t="s">
        <v>988</v>
      </c>
      <c r="AR32" s="190"/>
      <c r="AS32" s="190" t="s">
        <v>1032</v>
      </c>
      <c r="AT32" s="190" t="s">
        <v>1032</v>
      </c>
      <c r="AU32" s="190" t="s">
        <v>1032</v>
      </c>
      <c r="AV32" s="190" t="s">
        <v>1032</v>
      </c>
      <c r="AW32" s="190" t="s">
        <v>1032</v>
      </c>
      <c r="AX32" s="190" t="s">
        <v>1032</v>
      </c>
      <c r="AY32" s="190" t="s">
        <v>1032</v>
      </c>
      <c r="AZ32" s="190" t="s">
        <v>1032</v>
      </c>
      <c r="BA32" s="190" t="s">
        <v>1032</v>
      </c>
      <c r="BB32" s="190" t="s">
        <v>1032</v>
      </c>
      <c r="BC32" s="190" t="s">
        <v>1032</v>
      </c>
      <c r="BD32" s="190" t="s">
        <v>1032</v>
      </c>
      <c r="BE32" s="190" t="s">
        <v>1032</v>
      </c>
      <c r="BF32" s="190" t="s">
        <v>1032</v>
      </c>
      <c r="BG32" s="190" t="s">
        <v>1032</v>
      </c>
      <c r="BH32" s="190" t="s">
        <v>1032</v>
      </c>
      <c r="BI32" s="190" t="s">
        <v>1032</v>
      </c>
      <c r="BJ32" s="190" t="s">
        <v>1032</v>
      </c>
      <c r="BK32" s="190" t="s">
        <v>1032</v>
      </c>
      <c r="BL32" s="190" t="s">
        <v>1032</v>
      </c>
      <c r="BM32" s="190" t="s">
        <v>1032</v>
      </c>
      <c r="BN32" s="190" t="s">
        <v>1032</v>
      </c>
      <c r="BO32" s="190" t="s">
        <v>1032</v>
      </c>
      <c r="BP32" s="190" t="s">
        <v>1032</v>
      </c>
      <c r="BQ32" s="190" t="s">
        <v>1032</v>
      </c>
      <c r="BR32" s="190" t="s">
        <v>1032</v>
      </c>
      <c r="BS32" s="190" t="s">
        <v>1032</v>
      </c>
      <c r="BT32" s="190" t="s">
        <v>1032</v>
      </c>
      <c r="BU32" s="190" t="s">
        <v>1032</v>
      </c>
      <c r="BV32" s="190" t="s">
        <v>1032</v>
      </c>
      <c r="BW32" s="190" t="s">
        <v>1032</v>
      </c>
      <c r="BX32" s="190" t="s">
        <v>1032</v>
      </c>
      <c r="BY32" s="190" t="s">
        <v>1032</v>
      </c>
      <c r="BZ32" s="190" t="s">
        <v>1032</v>
      </c>
      <c r="CA32" s="190" t="s">
        <v>1032</v>
      </c>
      <c r="CB32" s="190" t="s">
        <v>1032</v>
      </c>
      <c r="CC32" s="190" t="s">
        <v>1032</v>
      </c>
      <c r="CD32" s="190" t="s">
        <v>1032</v>
      </c>
      <c r="CE32" s="190" t="s">
        <v>1032</v>
      </c>
      <c r="CF32" s="190" t="s">
        <v>1032</v>
      </c>
      <c r="CG32" s="190" t="s">
        <v>1032</v>
      </c>
      <c r="CH32" s="190" t="s">
        <v>1032</v>
      </c>
      <c r="CI32" s="190" t="s">
        <v>1032</v>
      </c>
      <c r="CJ32" s="190" t="s">
        <v>1032</v>
      </c>
      <c r="CK32" s="190" t="s">
        <v>1032</v>
      </c>
      <c r="CL32" s="190" t="s">
        <v>1032</v>
      </c>
      <c r="CM32" s="190" t="s">
        <v>1032</v>
      </c>
      <c r="CN32" s="190" t="s">
        <v>1032</v>
      </c>
      <c r="CO32" s="190" t="s">
        <v>1032</v>
      </c>
      <c r="CP32" s="190" t="s">
        <v>1032</v>
      </c>
      <c r="CQ32" s="190" t="s">
        <v>1032</v>
      </c>
      <c r="CR32" s="190"/>
      <c r="CS32" s="190" t="s">
        <v>1030</v>
      </c>
      <c r="CT32" s="190" t="s">
        <v>1031</v>
      </c>
      <c r="CU32" s="190" t="s">
        <v>1029</v>
      </c>
      <c r="CV32" s="190" t="s">
        <v>1031</v>
      </c>
      <c r="CW32" s="190"/>
      <c r="CX32" s="190" t="s">
        <v>988</v>
      </c>
      <c r="CY32" s="190" t="s">
        <v>1032</v>
      </c>
      <c r="CZ32" s="190" t="s">
        <v>1032</v>
      </c>
      <c r="DA32" s="190" t="s">
        <v>1030</v>
      </c>
      <c r="DB32" s="190" t="s">
        <v>1006</v>
      </c>
      <c r="DC32" s="190" t="s">
        <v>1032</v>
      </c>
      <c r="DD32" s="190" t="s">
        <v>1032</v>
      </c>
      <c r="DE32" s="190"/>
      <c r="DF32" s="174">
        <v>31</v>
      </c>
      <c r="DH32" s="182" t="s">
        <v>1049</v>
      </c>
      <c r="DI32" s="182" t="s">
        <v>960</v>
      </c>
      <c r="DJ32" s="182">
        <v>6</v>
      </c>
      <c r="DK32" s="182">
        <v>6</v>
      </c>
      <c r="DL32" s="182">
        <v>-4</v>
      </c>
      <c r="DM32" s="182"/>
      <c r="DN32" s="182"/>
      <c r="DO32" s="182">
        <v>-8</v>
      </c>
      <c r="DP32" s="182">
        <v>4</v>
      </c>
      <c r="DQ32" s="182">
        <v>-6</v>
      </c>
      <c r="DR32" s="182"/>
      <c r="DS32" s="182"/>
      <c r="DT32" s="182">
        <v>50</v>
      </c>
      <c r="DU32" s="182">
        <v>20</v>
      </c>
      <c r="DV32" s="182">
        <v>40</v>
      </c>
      <c r="DW32" s="182">
        <v>30</v>
      </c>
      <c r="DX32" s="182">
        <v>15</v>
      </c>
      <c r="DY32" s="182">
        <v>18</v>
      </c>
      <c r="DZ32" s="182">
        <v>5</v>
      </c>
      <c r="EA32" s="182">
        <v>0.5</v>
      </c>
      <c r="EB32" s="182">
        <v>45</v>
      </c>
      <c r="ED32" s="174" t="s">
        <v>960</v>
      </c>
      <c r="EE32" s="174">
        <v>2111</v>
      </c>
      <c r="EF32" s="174">
        <v>6543</v>
      </c>
      <c r="EG32" s="174">
        <v>2111</v>
      </c>
      <c r="EH32" s="174">
        <v>4322</v>
      </c>
      <c r="EI32" s="174">
        <v>2111</v>
      </c>
      <c r="EJ32" s="174">
        <v>4322</v>
      </c>
      <c r="EK32" s="174">
        <v>3221</v>
      </c>
      <c r="EL32" s="174">
        <v>6321</v>
      </c>
      <c r="EN32" s="182" t="s">
        <v>1062</v>
      </c>
      <c r="EO32" s="174">
        <v>1</v>
      </c>
      <c r="EP32" s="174">
        <v>1</v>
      </c>
      <c r="EQ32" s="174">
        <v>1</v>
      </c>
      <c r="ER32" s="174">
        <v>1</v>
      </c>
      <c r="ES32" s="174">
        <v>1</v>
      </c>
      <c r="ET32" s="174">
        <v>1</v>
      </c>
      <c r="EU32" s="174">
        <v>1</v>
      </c>
      <c r="EV32" s="174">
        <v>1</v>
      </c>
      <c r="EW32" s="174">
        <v>1</v>
      </c>
      <c r="EX32" s="174">
        <v>1</v>
      </c>
      <c r="EY32" s="174">
        <v>1</v>
      </c>
      <c r="EZ32" s="174">
        <v>1</v>
      </c>
      <c r="FA32" s="174">
        <v>1</v>
      </c>
      <c r="FB32" s="174">
        <v>1</v>
      </c>
      <c r="FC32" s="174">
        <v>1</v>
      </c>
      <c r="FD32" s="174">
        <v>1</v>
      </c>
      <c r="FE32" s="174">
        <v>1</v>
      </c>
      <c r="FF32" s="174">
        <v>1</v>
      </c>
      <c r="FG32" s="174">
        <v>1</v>
      </c>
      <c r="FH32" s="174">
        <v>1</v>
      </c>
      <c r="FI32" s="174">
        <v>1</v>
      </c>
      <c r="FJ32" s="174">
        <v>1</v>
      </c>
      <c r="FK32" s="174">
        <v>1</v>
      </c>
      <c r="FL32" s="174">
        <v>2</v>
      </c>
      <c r="FM32" s="174">
        <v>2</v>
      </c>
      <c r="FN32" s="174">
        <v>1</v>
      </c>
      <c r="FO32" s="174">
        <v>1</v>
      </c>
      <c r="FP32" s="174">
        <v>1</v>
      </c>
      <c r="FQ32" s="174">
        <v>1</v>
      </c>
      <c r="FR32" s="174">
        <v>1</v>
      </c>
      <c r="FS32" s="174">
        <v>1</v>
      </c>
      <c r="FT32" s="174">
        <v>1</v>
      </c>
      <c r="FU32" s="174">
        <v>1</v>
      </c>
      <c r="FV32" s="174">
        <v>1</v>
      </c>
      <c r="FW32" s="174">
        <v>1</v>
      </c>
      <c r="FX32" s="174">
        <v>1</v>
      </c>
      <c r="FY32" s="174">
        <v>1</v>
      </c>
      <c r="FZ32" s="174">
        <v>1</v>
      </c>
      <c r="GA32" s="174">
        <v>1</v>
      </c>
      <c r="GB32" s="174">
        <v>1</v>
      </c>
      <c r="GC32" s="174">
        <v>1</v>
      </c>
      <c r="GD32" s="174">
        <v>1</v>
      </c>
      <c r="GE32" s="174">
        <v>1</v>
      </c>
      <c r="GF32" s="174">
        <v>1</v>
      </c>
      <c r="GG32" s="174">
        <v>1</v>
      </c>
      <c r="GH32" s="174">
        <v>1</v>
      </c>
      <c r="GL32" s="174">
        <v>1</v>
      </c>
      <c r="GM32" s="174">
        <v>1</v>
      </c>
      <c r="GN32" s="174">
        <v>1</v>
      </c>
      <c r="GO32" s="174">
        <v>1</v>
      </c>
      <c r="GP32" s="174">
        <v>1</v>
      </c>
      <c r="GQ32" s="174">
        <v>1</v>
      </c>
      <c r="GR32" s="174">
        <v>1</v>
      </c>
      <c r="HA32" s="174">
        <v>31</v>
      </c>
      <c r="HB32" s="197">
        <v>29</v>
      </c>
      <c r="HC32" s="183">
        <v>35</v>
      </c>
      <c r="HD32" s="183">
        <v>59</v>
      </c>
      <c r="HE32" s="194">
        <v>25</v>
      </c>
      <c r="HF32" s="183">
        <v>94</v>
      </c>
      <c r="HG32" s="193" t="e">
        <f t="shared" si="3"/>
        <v>#N/A</v>
      </c>
      <c r="HH32" s="192" t="e">
        <f t="shared" si="4"/>
        <v>#N/A</v>
      </c>
      <c r="HI32" s="198">
        <v>25</v>
      </c>
      <c r="HJ32" s="185">
        <v>98</v>
      </c>
      <c r="HK32" s="182">
        <v>30</v>
      </c>
      <c r="HL32" s="182">
        <v>220</v>
      </c>
      <c r="HM32" s="182">
        <v>180</v>
      </c>
      <c r="HN32" s="182">
        <v>160</v>
      </c>
      <c r="HO32" s="182">
        <v>150</v>
      </c>
      <c r="HP32" s="182">
        <v>140</v>
      </c>
      <c r="HQ32" s="182">
        <v>130</v>
      </c>
      <c r="HR32" s="182">
        <v>120</v>
      </c>
      <c r="HS32" s="182">
        <v>160</v>
      </c>
      <c r="HT32" s="174">
        <v>150</v>
      </c>
      <c r="HU32" s="182">
        <v>130</v>
      </c>
      <c r="HV32" s="182">
        <v>130</v>
      </c>
      <c r="HW32" s="182">
        <v>120</v>
      </c>
      <c r="HX32" s="182">
        <v>110</v>
      </c>
      <c r="HY32" s="182">
        <v>100</v>
      </c>
      <c r="HZ32" s="182">
        <v>90</v>
      </c>
      <c r="IA32" s="174">
        <v>120</v>
      </c>
      <c r="IB32" s="182">
        <v>100</v>
      </c>
      <c r="IC32" s="182">
        <v>90</v>
      </c>
      <c r="ID32" s="182">
        <v>60</v>
      </c>
      <c r="IE32" s="182">
        <v>40</v>
      </c>
      <c r="IF32" s="182">
        <v>32</v>
      </c>
      <c r="II32" s="174">
        <f>Skills!K90</f>
        <v>2.490000000000002</v>
      </c>
      <c r="IJ32" s="174" t="str">
        <f>Skills!B90</f>
        <v>Two-Weapon Fighting</v>
      </c>
      <c r="IM32" s="174">
        <v>1000000</v>
      </c>
      <c r="IN32" s="174">
        <v>30</v>
      </c>
    </row>
    <row r="33" spans="1:248" ht="13.35" customHeight="1" thickBot="1" x14ac:dyDescent="0.25">
      <c r="A33" s="183">
        <f t="shared" si="1"/>
        <v>32</v>
      </c>
      <c r="B33" s="183">
        <v>0</v>
      </c>
      <c r="C33" s="183">
        <f t="shared" si="2"/>
        <v>32</v>
      </c>
      <c r="E33" s="189" t="s">
        <v>637</v>
      </c>
      <c r="F33" s="190" t="s">
        <v>995</v>
      </c>
      <c r="G33" s="190" t="s">
        <v>995</v>
      </c>
      <c r="H33" s="190" t="s">
        <v>995</v>
      </c>
      <c r="I33" s="190" t="s">
        <v>999</v>
      </c>
      <c r="J33" s="190" t="s">
        <v>1010</v>
      </c>
      <c r="K33" s="190" t="s">
        <v>1002</v>
      </c>
      <c r="L33" s="190" t="s">
        <v>1002</v>
      </c>
      <c r="M33" s="190" t="s">
        <v>1004</v>
      </c>
      <c r="N33" s="190" t="s">
        <v>1004</v>
      </c>
      <c r="O33" s="190" t="s">
        <v>1009</v>
      </c>
      <c r="P33" s="190" t="s">
        <v>1009</v>
      </c>
      <c r="Q33" s="190" t="s">
        <v>1010</v>
      </c>
      <c r="R33" s="190" t="s">
        <v>1004</v>
      </c>
      <c r="S33" s="190" t="s">
        <v>1004</v>
      </c>
      <c r="T33" s="190" t="s">
        <v>1010</v>
      </c>
      <c r="U33" s="190" t="s">
        <v>1010</v>
      </c>
      <c r="V33" s="190" t="s">
        <v>992</v>
      </c>
      <c r="W33" s="190" t="s">
        <v>1010</v>
      </c>
      <c r="X33" s="190" t="s">
        <v>1010</v>
      </c>
      <c r="Y33" s="190" t="s">
        <v>995</v>
      </c>
      <c r="Z33" s="190"/>
      <c r="AA33" s="190" t="s">
        <v>1028</v>
      </c>
      <c r="AB33" s="190" t="s">
        <v>1004</v>
      </c>
      <c r="AC33" s="190" t="s">
        <v>1002</v>
      </c>
      <c r="AD33" s="190" t="s">
        <v>995</v>
      </c>
      <c r="AE33" s="190"/>
      <c r="AF33" s="190" t="s">
        <v>1002</v>
      </c>
      <c r="AG33" s="190" t="s">
        <v>1002</v>
      </c>
      <c r="AH33" s="190" t="s">
        <v>1010</v>
      </c>
      <c r="AI33" s="190"/>
      <c r="AJ33" s="190" t="s">
        <v>1010</v>
      </c>
      <c r="AK33" s="190" t="s">
        <v>1004</v>
      </c>
      <c r="AL33" s="190" t="s">
        <v>1009</v>
      </c>
      <c r="AM33" s="190" t="s">
        <v>1004</v>
      </c>
      <c r="AN33" s="190"/>
      <c r="AO33" s="190" t="s">
        <v>1002</v>
      </c>
      <c r="AP33" s="190" t="s">
        <v>1004</v>
      </c>
      <c r="AQ33" s="190" t="s">
        <v>995</v>
      </c>
      <c r="AR33" s="190"/>
      <c r="AS33" s="190" t="s">
        <v>1004</v>
      </c>
      <c r="AT33" s="190" t="s">
        <v>1004</v>
      </c>
      <c r="AU33" s="190" t="s">
        <v>1004</v>
      </c>
      <c r="AV33" s="190" t="s">
        <v>1004</v>
      </c>
      <c r="AW33" s="190" t="s">
        <v>1004</v>
      </c>
      <c r="AX33" s="190" t="s">
        <v>1004</v>
      </c>
      <c r="AY33" s="190" t="s">
        <v>1004</v>
      </c>
      <c r="AZ33" s="190" t="s">
        <v>1004</v>
      </c>
      <c r="BA33" s="190" t="s">
        <v>1004</v>
      </c>
      <c r="BB33" s="190" t="s">
        <v>1004</v>
      </c>
      <c r="BC33" s="190" t="s">
        <v>1004</v>
      </c>
      <c r="BD33" s="190" t="s">
        <v>1004</v>
      </c>
      <c r="BE33" s="190" t="s">
        <v>1004</v>
      </c>
      <c r="BF33" s="190" t="s">
        <v>1004</v>
      </c>
      <c r="BG33" s="190" t="s">
        <v>1004</v>
      </c>
      <c r="BH33" s="190" t="s">
        <v>1004</v>
      </c>
      <c r="BI33" s="190" t="s">
        <v>1004</v>
      </c>
      <c r="BJ33" s="190" t="s">
        <v>1004</v>
      </c>
      <c r="BK33" s="190" t="s">
        <v>1004</v>
      </c>
      <c r="BL33" s="190" t="s">
        <v>1004</v>
      </c>
      <c r="BM33" s="190" t="s">
        <v>1004</v>
      </c>
      <c r="BN33" s="190" t="s">
        <v>1004</v>
      </c>
      <c r="BO33" s="190" t="s">
        <v>1004</v>
      </c>
      <c r="BP33" s="190" t="s">
        <v>1004</v>
      </c>
      <c r="BQ33" s="190" t="s">
        <v>1004</v>
      </c>
      <c r="BR33" s="190" t="s">
        <v>1004</v>
      </c>
      <c r="BS33" s="190" t="s">
        <v>1004</v>
      </c>
      <c r="BT33" s="190" t="s">
        <v>1004</v>
      </c>
      <c r="BU33" s="190" t="s">
        <v>1004</v>
      </c>
      <c r="BV33" s="190" t="s">
        <v>1004</v>
      </c>
      <c r="BW33" s="190" t="s">
        <v>1004</v>
      </c>
      <c r="BX33" s="190" t="s">
        <v>1004</v>
      </c>
      <c r="BY33" s="190" t="s">
        <v>1004</v>
      </c>
      <c r="BZ33" s="190" t="s">
        <v>1004</v>
      </c>
      <c r="CA33" s="190" t="s">
        <v>1004</v>
      </c>
      <c r="CB33" s="190" t="s">
        <v>1004</v>
      </c>
      <c r="CC33" s="190" t="s">
        <v>1004</v>
      </c>
      <c r="CD33" s="190" t="s">
        <v>1004</v>
      </c>
      <c r="CE33" s="190" t="s">
        <v>1004</v>
      </c>
      <c r="CF33" s="190" t="s">
        <v>1004</v>
      </c>
      <c r="CG33" s="190" t="s">
        <v>1004</v>
      </c>
      <c r="CH33" s="190" t="s">
        <v>1004</v>
      </c>
      <c r="CI33" s="190" t="s">
        <v>1004</v>
      </c>
      <c r="CJ33" s="190" t="s">
        <v>1004</v>
      </c>
      <c r="CK33" s="190" t="s">
        <v>1004</v>
      </c>
      <c r="CL33" s="190" t="s">
        <v>1004</v>
      </c>
      <c r="CM33" s="190" t="s">
        <v>1004</v>
      </c>
      <c r="CN33" s="190" t="s">
        <v>1004</v>
      </c>
      <c r="CO33" s="190" t="s">
        <v>1004</v>
      </c>
      <c r="CP33" s="190" t="s">
        <v>1004</v>
      </c>
      <c r="CQ33" s="190" t="s">
        <v>1004</v>
      </c>
      <c r="CR33" s="190"/>
      <c r="CS33" s="190" t="s">
        <v>1010</v>
      </c>
      <c r="CT33" s="190" t="s">
        <v>995</v>
      </c>
      <c r="CU33" s="190" t="s">
        <v>1009</v>
      </c>
      <c r="CV33" s="190" t="s">
        <v>991</v>
      </c>
      <c r="CW33" s="190"/>
      <c r="CX33" s="190" t="s">
        <v>1010</v>
      </c>
      <c r="CY33" s="190" t="s">
        <v>1004</v>
      </c>
      <c r="CZ33" s="190" t="s">
        <v>1004</v>
      </c>
      <c r="DA33" s="190" t="s">
        <v>1010</v>
      </c>
      <c r="DB33" s="190" t="s">
        <v>1002</v>
      </c>
      <c r="DC33" s="190" t="s">
        <v>1004</v>
      </c>
      <c r="DD33" s="190" t="s">
        <v>1007</v>
      </c>
      <c r="DE33" s="190"/>
      <c r="DF33" s="174">
        <v>32</v>
      </c>
      <c r="DH33" s="174" t="s">
        <v>900</v>
      </c>
      <c r="DI33" s="174" t="s">
        <v>985</v>
      </c>
      <c r="DJ33" s="174">
        <v>2</v>
      </c>
      <c r="DL33" s="174">
        <v>2</v>
      </c>
      <c r="DO33" s="174">
        <v>2</v>
      </c>
      <c r="DQ33" s="174">
        <v>2</v>
      </c>
      <c r="DY33" s="174">
        <v>11</v>
      </c>
      <c r="DZ33" s="174">
        <v>5</v>
      </c>
      <c r="EA33" s="174">
        <v>0.9</v>
      </c>
      <c r="EB33" s="174">
        <f>DZ33*10</f>
        <v>50</v>
      </c>
      <c r="ED33" s="174" t="s">
        <v>985</v>
      </c>
      <c r="EE33" s="174">
        <v>6543</v>
      </c>
      <c r="EF33" s="174">
        <v>6543</v>
      </c>
      <c r="EG33" s="174">
        <v>7654</v>
      </c>
      <c r="EH33" s="174">
        <v>6543</v>
      </c>
      <c r="EI33" s="174">
        <v>6543</v>
      </c>
      <c r="EJ33" s="174">
        <v>6543</v>
      </c>
      <c r="EK33" s="174">
        <v>6543</v>
      </c>
      <c r="EL33" s="174">
        <v>7521</v>
      </c>
      <c r="EN33" s="182" t="s">
        <v>1063</v>
      </c>
      <c r="ER33" s="174">
        <v>5</v>
      </c>
      <c r="ES33" s="174">
        <v>5</v>
      </c>
      <c r="ET33" s="174">
        <v>1</v>
      </c>
      <c r="EU33" s="174">
        <v>1</v>
      </c>
      <c r="EW33" s="174">
        <v>1</v>
      </c>
      <c r="FI33" s="174">
        <v>1</v>
      </c>
      <c r="FL33" s="174">
        <v>3</v>
      </c>
      <c r="FM33" s="174">
        <v>3</v>
      </c>
      <c r="FR33" s="174">
        <v>1</v>
      </c>
      <c r="HA33" s="174">
        <v>32</v>
      </c>
      <c r="HB33" s="197">
        <v>30</v>
      </c>
      <c r="HC33" s="183">
        <v>35</v>
      </c>
      <c r="HD33" s="183">
        <v>60</v>
      </c>
      <c r="HE33" s="194">
        <v>25</v>
      </c>
      <c r="HF33" s="183">
        <v>95</v>
      </c>
      <c r="HG33" s="193" t="e">
        <f t="shared" si="3"/>
        <v>#N/A</v>
      </c>
      <c r="HH33" s="192" t="e">
        <f t="shared" si="4"/>
        <v>#N/A</v>
      </c>
      <c r="HI33" s="198">
        <v>25</v>
      </c>
      <c r="HJ33" s="185">
        <v>100</v>
      </c>
      <c r="HK33" s="174">
        <v>31</v>
      </c>
      <c r="HL33" s="174">
        <v>223</v>
      </c>
      <c r="HM33" s="174">
        <v>184</v>
      </c>
      <c r="HN33" s="174">
        <v>163</v>
      </c>
      <c r="HO33" s="174">
        <v>151</v>
      </c>
      <c r="HP33" s="174">
        <v>141</v>
      </c>
      <c r="HQ33" s="174">
        <v>131</v>
      </c>
      <c r="HR33" s="174">
        <v>121</v>
      </c>
      <c r="HS33" s="174">
        <v>163</v>
      </c>
      <c r="HT33" s="174">
        <v>153</v>
      </c>
      <c r="HU33" s="174">
        <v>131</v>
      </c>
      <c r="HV33" s="174">
        <v>132</v>
      </c>
      <c r="HW33" s="174">
        <v>121</v>
      </c>
      <c r="HX33" s="174">
        <v>111</v>
      </c>
      <c r="HY33" s="174">
        <v>101</v>
      </c>
      <c r="HZ33" s="174">
        <v>91</v>
      </c>
      <c r="IA33" s="174">
        <v>122</v>
      </c>
      <c r="IB33" s="174">
        <v>102</v>
      </c>
      <c r="IC33" s="174">
        <v>91</v>
      </c>
      <c r="ID33" s="174">
        <v>61</v>
      </c>
      <c r="IE33" s="174">
        <v>41</v>
      </c>
      <c r="IF33" s="174">
        <v>33</v>
      </c>
      <c r="IM33" s="174">
        <v>1050000</v>
      </c>
      <c r="IN33" s="174">
        <v>31</v>
      </c>
    </row>
    <row r="34" spans="1:248" ht="13.35" customHeight="1" thickBot="1" x14ac:dyDescent="0.25">
      <c r="A34" s="183">
        <f t="shared" si="1"/>
        <v>33</v>
      </c>
      <c r="B34" s="183">
        <v>0</v>
      </c>
      <c r="C34" s="183">
        <f t="shared" si="2"/>
        <v>33</v>
      </c>
      <c r="E34" s="189" t="s">
        <v>654</v>
      </c>
      <c r="F34" s="190" t="s">
        <v>995</v>
      </c>
      <c r="G34" s="190" t="s">
        <v>1064</v>
      </c>
      <c r="H34" s="190" t="s">
        <v>1010</v>
      </c>
      <c r="I34" s="190" t="s">
        <v>1021</v>
      </c>
      <c r="J34" s="190" t="s">
        <v>1065</v>
      </c>
      <c r="K34" s="190" t="s">
        <v>1030</v>
      </c>
      <c r="L34" s="190" t="s">
        <v>1030</v>
      </c>
      <c r="M34" s="190" t="s">
        <v>930</v>
      </c>
      <c r="N34" s="190" t="s">
        <v>930</v>
      </c>
      <c r="O34" s="190" t="s">
        <v>1031</v>
      </c>
      <c r="P34" s="190" t="s">
        <v>1031</v>
      </c>
      <c r="Q34" s="190" t="s">
        <v>1030</v>
      </c>
      <c r="R34" s="190" t="s">
        <v>1030</v>
      </c>
      <c r="S34" s="190" t="s">
        <v>1030</v>
      </c>
      <c r="T34" s="190" t="s">
        <v>1007</v>
      </c>
      <c r="U34" s="190" t="s">
        <v>1064</v>
      </c>
      <c r="V34" s="190" t="s">
        <v>1004</v>
      </c>
      <c r="W34" s="190" t="s">
        <v>1002</v>
      </c>
      <c r="X34" s="190" t="s">
        <v>1002</v>
      </c>
      <c r="Y34" s="190" t="s">
        <v>1005</v>
      </c>
      <c r="Z34" s="190"/>
      <c r="AA34" s="190" t="s">
        <v>1037</v>
      </c>
      <c r="AB34" s="190" t="s">
        <v>1037</v>
      </c>
      <c r="AC34" s="190" t="s">
        <v>988</v>
      </c>
      <c r="AD34" s="190" t="s">
        <v>1008</v>
      </c>
      <c r="AE34" s="190"/>
      <c r="AF34" s="190" t="s">
        <v>1030</v>
      </c>
      <c r="AG34" s="190" t="s">
        <v>1030</v>
      </c>
      <c r="AH34" s="190" t="s">
        <v>1039</v>
      </c>
      <c r="AI34" s="190"/>
      <c r="AJ34" s="190" t="s">
        <v>1064</v>
      </c>
      <c r="AK34" s="190" t="s">
        <v>1030</v>
      </c>
      <c r="AL34" s="190" t="s">
        <v>1038</v>
      </c>
      <c r="AM34" s="190" t="s">
        <v>1030</v>
      </c>
      <c r="AN34" s="190"/>
      <c r="AO34" s="190" t="s">
        <v>1030</v>
      </c>
      <c r="AP34" s="190" t="s">
        <v>1038</v>
      </c>
      <c r="AQ34" s="190" t="s">
        <v>1064</v>
      </c>
      <c r="AR34" s="190"/>
      <c r="AS34" s="190" t="s">
        <v>931</v>
      </c>
      <c r="AT34" s="190" t="s">
        <v>931</v>
      </c>
      <c r="AU34" s="190" t="s">
        <v>931</v>
      </c>
      <c r="AV34" s="190" t="s">
        <v>931</v>
      </c>
      <c r="AW34" s="190" t="s">
        <v>931</v>
      </c>
      <c r="AX34" s="190" t="s">
        <v>931</v>
      </c>
      <c r="AY34" s="190" t="s">
        <v>931</v>
      </c>
      <c r="AZ34" s="190" t="s">
        <v>931</v>
      </c>
      <c r="BA34" s="190" t="s">
        <v>931</v>
      </c>
      <c r="BB34" s="190" t="s">
        <v>931</v>
      </c>
      <c r="BC34" s="190" t="s">
        <v>931</v>
      </c>
      <c r="BD34" s="190" t="s">
        <v>931</v>
      </c>
      <c r="BE34" s="190" t="s">
        <v>931</v>
      </c>
      <c r="BF34" s="190" t="s">
        <v>931</v>
      </c>
      <c r="BG34" s="190" t="s">
        <v>931</v>
      </c>
      <c r="BH34" s="190" t="s">
        <v>931</v>
      </c>
      <c r="BI34" s="190" t="s">
        <v>931</v>
      </c>
      <c r="BJ34" s="190" t="s">
        <v>931</v>
      </c>
      <c r="BK34" s="190" t="s">
        <v>931</v>
      </c>
      <c r="BL34" s="190" t="s">
        <v>931</v>
      </c>
      <c r="BM34" s="190" t="s">
        <v>931</v>
      </c>
      <c r="BN34" s="190" t="s">
        <v>931</v>
      </c>
      <c r="BO34" s="190" t="s">
        <v>931</v>
      </c>
      <c r="BP34" s="190" t="s">
        <v>931</v>
      </c>
      <c r="BQ34" s="190" t="s">
        <v>931</v>
      </c>
      <c r="BR34" s="190" t="s">
        <v>931</v>
      </c>
      <c r="BS34" s="190" t="s">
        <v>931</v>
      </c>
      <c r="BT34" s="190" t="s">
        <v>931</v>
      </c>
      <c r="BU34" s="190" t="s">
        <v>931</v>
      </c>
      <c r="BV34" s="190" t="s">
        <v>931</v>
      </c>
      <c r="BW34" s="190" t="s">
        <v>931</v>
      </c>
      <c r="BX34" s="190" t="s">
        <v>931</v>
      </c>
      <c r="BY34" s="190" t="s">
        <v>931</v>
      </c>
      <c r="BZ34" s="190" t="s">
        <v>931</v>
      </c>
      <c r="CA34" s="190" t="s">
        <v>931</v>
      </c>
      <c r="CB34" s="190" t="s">
        <v>931</v>
      </c>
      <c r="CC34" s="190" t="s">
        <v>931</v>
      </c>
      <c r="CD34" s="190" t="s">
        <v>931</v>
      </c>
      <c r="CE34" s="190" t="s">
        <v>931</v>
      </c>
      <c r="CF34" s="190" t="s">
        <v>931</v>
      </c>
      <c r="CG34" s="190" t="s">
        <v>931</v>
      </c>
      <c r="CH34" s="190" t="s">
        <v>931</v>
      </c>
      <c r="CI34" s="190" t="s">
        <v>931</v>
      </c>
      <c r="CJ34" s="190" t="s">
        <v>931</v>
      </c>
      <c r="CK34" s="190" t="s">
        <v>931</v>
      </c>
      <c r="CL34" s="190" t="s">
        <v>931</v>
      </c>
      <c r="CM34" s="190" t="s">
        <v>931</v>
      </c>
      <c r="CN34" s="190" t="s">
        <v>931</v>
      </c>
      <c r="CO34" s="190" t="s">
        <v>931</v>
      </c>
      <c r="CP34" s="190" t="s">
        <v>931</v>
      </c>
      <c r="CQ34" s="190" t="s">
        <v>931</v>
      </c>
      <c r="CR34" s="190"/>
      <c r="CS34" s="190" t="s">
        <v>1010</v>
      </c>
      <c r="CT34" s="190" t="s">
        <v>1064</v>
      </c>
      <c r="CU34" s="190" t="s">
        <v>930</v>
      </c>
      <c r="CV34" s="190" t="s">
        <v>991</v>
      </c>
      <c r="CW34" s="190"/>
      <c r="CX34" s="190" t="s">
        <v>1007</v>
      </c>
      <c r="CY34" s="190" t="s">
        <v>930</v>
      </c>
      <c r="CZ34" s="190" t="s">
        <v>930</v>
      </c>
      <c r="DA34" s="190" t="s">
        <v>1010</v>
      </c>
      <c r="DB34" s="190" t="s">
        <v>1030</v>
      </c>
      <c r="DC34" s="190" t="s">
        <v>930</v>
      </c>
      <c r="DD34" s="190" t="s">
        <v>1031</v>
      </c>
      <c r="DE34" s="190"/>
      <c r="DF34" s="174">
        <v>33</v>
      </c>
      <c r="DH34" s="174" t="s">
        <v>1011</v>
      </c>
      <c r="DI34" s="174" t="s">
        <v>1066</v>
      </c>
      <c r="DJ34" s="174">
        <v>8</v>
      </c>
      <c r="DK34" s="174">
        <v>-4</v>
      </c>
      <c r="DL34" s="174">
        <v>-4</v>
      </c>
      <c r="DM34" s="174">
        <v>-4</v>
      </c>
      <c r="DN34" s="174">
        <v>-6</v>
      </c>
      <c r="DO34" s="174">
        <v>8</v>
      </c>
      <c r="DP34" s="174">
        <v>-4</v>
      </c>
      <c r="DQ34" s="174">
        <v>-4</v>
      </c>
      <c r="DR34" s="174">
        <v>-4</v>
      </c>
      <c r="DS34" s="174">
        <v>-6</v>
      </c>
      <c r="DW34" s="174">
        <v>30</v>
      </c>
      <c r="DX34" s="174">
        <v>10</v>
      </c>
      <c r="DY34" s="174">
        <v>1</v>
      </c>
      <c r="DZ34" s="174">
        <v>2</v>
      </c>
      <c r="EA34" s="174">
        <v>0.5</v>
      </c>
      <c r="EB34" s="174">
        <f>DZ34*10</f>
        <v>20</v>
      </c>
      <c r="ED34" s="174" t="s">
        <v>1066</v>
      </c>
      <c r="EE34" s="174">
        <v>2111</v>
      </c>
      <c r="EF34" s="174">
        <v>2111</v>
      </c>
      <c r="EG34" s="174">
        <v>2111</v>
      </c>
      <c r="EH34" s="174">
        <v>2111</v>
      </c>
      <c r="EI34" s="174">
        <v>2111</v>
      </c>
      <c r="EJ34" s="174">
        <v>2111</v>
      </c>
      <c r="EK34" s="174">
        <v>2111</v>
      </c>
      <c r="EL34" s="174">
        <v>9853</v>
      </c>
      <c r="EN34" s="182" t="s">
        <v>721</v>
      </c>
      <c r="EO34" s="174">
        <v>2</v>
      </c>
      <c r="EP34" s="174">
        <v>2</v>
      </c>
      <c r="EQ34" s="174">
        <v>1</v>
      </c>
      <c r="ER34" s="174">
        <v>1</v>
      </c>
      <c r="ES34" s="174">
        <v>1</v>
      </c>
      <c r="ET34" s="174">
        <v>3</v>
      </c>
      <c r="EU34" s="174">
        <v>3</v>
      </c>
      <c r="EV34" s="174">
        <v>2</v>
      </c>
      <c r="EW34" s="174">
        <v>2</v>
      </c>
      <c r="EX34" s="174">
        <v>2</v>
      </c>
      <c r="EY34" s="174">
        <v>1</v>
      </c>
      <c r="EZ34" s="174">
        <v>2</v>
      </c>
      <c r="FA34" s="174">
        <v>2</v>
      </c>
      <c r="FB34" s="174">
        <v>4</v>
      </c>
      <c r="FC34" s="174">
        <v>1</v>
      </c>
      <c r="FD34" s="174">
        <v>3</v>
      </c>
      <c r="FE34" s="174">
        <v>2</v>
      </c>
      <c r="FF34" s="174">
        <v>2</v>
      </c>
      <c r="FG34" s="174">
        <v>2</v>
      </c>
      <c r="FH34" s="174">
        <v>1</v>
      </c>
      <c r="FI34" s="174">
        <v>1</v>
      </c>
      <c r="FJ34" s="174">
        <v>2</v>
      </c>
      <c r="FK34" s="174">
        <v>1</v>
      </c>
      <c r="FL34" s="174">
        <v>1</v>
      </c>
      <c r="FM34" s="174">
        <v>1</v>
      </c>
      <c r="FN34" s="174">
        <v>1</v>
      </c>
      <c r="FO34" s="174">
        <v>1</v>
      </c>
      <c r="FP34" s="174">
        <v>1</v>
      </c>
      <c r="FQ34" s="174">
        <v>1</v>
      </c>
      <c r="FR34" s="174">
        <v>1</v>
      </c>
      <c r="FS34" s="174">
        <v>2</v>
      </c>
      <c r="FT34" s="174">
        <v>2</v>
      </c>
      <c r="FU34" s="174">
        <v>2</v>
      </c>
      <c r="FV34" s="174">
        <v>2</v>
      </c>
      <c r="FW34" s="174">
        <v>2</v>
      </c>
      <c r="FX34" s="174">
        <v>2</v>
      </c>
      <c r="FY34" s="174">
        <v>3</v>
      </c>
      <c r="FZ34" s="174">
        <v>2</v>
      </c>
      <c r="GA34" s="174">
        <v>3</v>
      </c>
      <c r="GB34" s="174">
        <v>1</v>
      </c>
      <c r="GC34" s="174">
        <v>2</v>
      </c>
      <c r="GD34" s="174">
        <v>1</v>
      </c>
      <c r="GE34" s="174">
        <v>1</v>
      </c>
      <c r="GF34" s="174">
        <v>2</v>
      </c>
      <c r="GG34" s="174">
        <v>2</v>
      </c>
      <c r="GH34" s="174">
        <v>2</v>
      </c>
      <c r="GL34" s="174">
        <v>3</v>
      </c>
      <c r="GM34" s="174">
        <v>2</v>
      </c>
      <c r="GN34" s="174">
        <v>3</v>
      </c>
      <c r="GO34" s="174">
        <v>4</v>
      </c>
      <c r="GP34" s="174">
        <v>3</v>
      </c>
      <c r="GQ34" s="174">
        <v>2</v>
      </c>
      <c r="GR34" s="174">
        <v>2</v>
      </c>
      <c r="HA34" s="174">
        <v>33</v>
      </c>
      <c r="HB34" s="197">
        <v>31</v>
      </c>
      <c r="HC34" s="183">
        <v>36</v>
      </c>
      <c r="HD34" s="183">
        <v>61</v>
      </c>
      <c r="HE34" s="194">
        <v>25</v>
      </c>
      <c r="HF34" s="183">
        <v>96</v>
      </c>
      <c r="HG34" s="193" t="e">
        <f t="shared" si="3"/>
        <v>#N/A</v>
      </c>
      <c r="HH34" s="192" t="e">
        <f t="shared" si="4"/>
        <v>#N/A</v>
      </c>
      <c r="HI34" s="198">
        <v>25</v>
      </c>
      <c r="HJ34" s="185">
        <v>101</v>
      </c>
      <c r="HK34" s="174">
        <v>32</v>
      </c>
      <c r="HL34" s="174">
        <v>226</v>
      </c>
      <c r="HM34" s="174">
        <v>188</v>
      </c>
      <c r="HN34" s="174">
        <v>166</v>
      </c>
      <c r="HO34" s="174">
        <v>152</v>
      </c>
      <c r="HP34" s="174">
        <v>142</v>
      </c>
      <c r="HQ34" s="174">
        <v>132</v>
      </c>
      <c r="HR34" s="174">
        <v>122</v>
      </c>
      <c r="HS34" s="174">
        <v>166</v>
      </c>
      <c r="HT34" s="174">
        <v>156</v>
      </c>
      <c r="HU34" s="174">
        <v>132</v>
      </c>
      <c r="HV34" s="174">
        <v>134</v>
      </c>
      <c r="HW34" s="174">
        <v>122</v>
      </c>
      <c r="HX34" s="174">
        <v>112</v>
      </c>
      <c r="HY34" s="174">
        <v>102</v>
      </c>
      <c r="HZ34" s="174">
        <v>92</v>
      </c>
      <c r="IA34" s="174">
        <v>124</v>
      </c>
      <c r="IB34" s="174">
        <v>104</v>
      </c>
      <c r="IC34" s="174">
        <v>92</v>
      </c>
      <c r="ID34" s="174">
        <v>62</v>
      </c>
      <c r="IE34" s="174">
        <v>42</v>
      </c>
      <c r="IF34" s="174">
        <v>34</v>
      </c>
      <c r="IM34" s="174">
        <v>1100000</v>
      </c>
      <c r="IN34" s="174">
        <v>32</v>
      </c>
    </row>
    <row r="35" spans="1:248" ht="13.35" customHeight="1" thickBot="1" x14ac:dyDescent="0.25">
      <c r="A35" s="183">
        <f t="shared" si="1"/>
        <v>34</v>
      </c>
      <c r="B35" s="183">
        <v>0</v>
      </c>
      <c r="C35" s="183">
        <f t="shared" si="2"/>
        <v>34</v>
      </c>
      <c r="E35" s="189" t="s">
        <v>657</v>
      </c>
      <c r="F35" s="190" t="s">
        <v>1067</v>
      </c>
      <c r="G35" s="190" t="s">
        <v>1067</v>
      </c>
      <c r="H35" s="190" t="s">
        <v>1067</v>
      </c>
      <c r="I35" s="190" t="s">
        <v>1039</v>
      </c>
      <c r="J35" s="190" t="s">
        <v>1068</v>
      </c>
      <c r="K35" s="190" t="s">
        <v>1069</v>
      </c>
      <c r="L35" s="190" t="s">
        <v>1069</v>
      </c>
      <c r="M35" s="190" t="s">
        <v>1069</v>
      </c>
      <c r="N35" s="190" t="s">
        <v>1069</v>
      </c>
      <c r="O35" s="190" t="s">
        <v>1070</v>
      </c>
      <c r="P35" s="190" t="s">
        <v>1070</v>
      </c>
      <c r="Q35" s="190" t="s">
        <v>1070</v>
      </c>
      <c r="R35" s="190" t="s">
        <v>1070</v>
      </c>
      <c r="S35" s="190" t="s">
        <v>1069</v>
      </c>
      <c r="T35" s="190" t="s">
        <v>1069</v>
      </c>
      <c r="U35" s="190" t="s">
        <v>1069</v>
      </c>
      <c r="V35" s="190" t="s">
        <v>930</v>
      </c>
      <c r="W35" s="190" t="s">
        <v>1069</v>
      </c>
      <c r="X35" s="190" t="s">
        <v>1042</v>
      </c>
      <c r="Y35" s="190" t="s">
        <v>1042</v>
      </c>
      <c r="Z35" s="190"/>
      <c r="AA35" s="190" t="s">
        <v>1069</v>
      </c>
      <c r="AB35" s="190" t="s">
        <v>1069</v>
      </c>
      <c r="AC35" s="190" t="s">
        <v>1067</v>
      </c>
      <c r="AD35" s="190" t="s">
        <v>1068</v>
      </c>
      <c r="AE35" s="190"/>
      <c r="AF35" s="190" t="s">
        <v>1069</v>
      </c>
      <c r="AG35" s="190" t="s">
        <v>1069</v>
      </c>
      <c r="AH35" s="190" t="s">
        <v>1069</v>
      </c>
      <c r="AI35" s="190"/>
      <c r="AJ35" s="190" t="s">
        <v>1069</v>
      </c>
      <c r="AK35" s="190" t="s">
        <v>1070</v>
      </c>
      <c r="AL35" s="190" t="s">
        <v>1070</v>
      </c>
      <c r="AM35" s="190" t="s">
        <v>1070</v>
      </c>
      <c r="AN35" s="190"/>
      <c r="AO35" s="190" t="s">
        <v>1069</v>
      </c>
      <c r="AP35" s="190" t="s">
        <v>1067</v>
      </c>
      <c r="AQ35" s="190" t="s">
        <v>1069</v>
      </c>
      <c r="AR35" s="190"/>
      <c r="AS35" s="190" t="s">
        <v>1069</v>
      </c>
      <c r="AT35" s="190" t="s">
        <v>1069</v>
      </c>
      <c r="AU35" s="190" t="s">
        <v>1069</v>
      </c>
      <c r="AV35" s="190" t="s">
        <v>1069</v>
      </c>
      <c r="AW35" s="190" t="s">
        <v>1069</v>
      </c>
      <c r="AX35" s="190" t="s">
        <v>1069</v>
      </c>
      <c r="AY35" s="190" t="s">
        <v>1069</v>
      </c>
      <c r="AZ35" s="190" t="s">
        <v>1069</v>
      </c>
      <c r="BA35" s="190" t="s">
        <v>1069</v>
      </c>
      <c r="BB35" s="190" t="s">
        <v>1069</v>
      </c>
      <c r="BC35" s="190" t="s">
        <v>1069</v>
      </c>
      <c r="BD35" s="190" t="s">
        <v>1069</v>
      </c>
      <c r="BE35" s="190" t="s">
        <v>1069</v>
      </c>
      <c r="BF35" s="190" t="s">
        <v>1069</v>
      </c>
      <c r="BG35" s="190" t="s">
        <v>1069</v>
      </c>
      <c r="BH35" s="190" t="s">
        <v>1069</v>
      </c>
      <c r="BI35" s="190" t="s">
        <v>1069</v>
      </c>
      <c r="BJ35" s="190" t="s">
        <v>1069</v>
      </c>
      <c r="BK35" s="190" t="s">
        <v>1069</v>
      </c>
      <c r="BL35" s="190" t="s">
        <v>1069</v>
      </c>
      <c r="BM35" s="190" t="s">
        <v>1069</v>
      </c>
      <c r="BN35" s="190" t="s">
        <v>1069</v>
      </c>
      <c r="BO35" s="190" t="s">
        <v>1069</v>
      </c>
      <c r="BP35" s="190" t="s">
        <v>1069</v>
      </c>
      <c r="BQ35" s="190" t="s">
        <v>1069</v>
      </c>
      <c r="BR35" s="190" t="s">
        <v>1069</v>
      </c>
      <c r="BS35" s="190" t="s">
        <v>1069</v>
      </c>
      <c r="BT35" s="190" t="s">
        <v>1069</v>
      </c>
      <c r="BU35" s="190" t="s">
        <v>1069</v>
      </c>
      <c r="BV35" s="190" t="s">
        <v>1069</v>
      </c>
      <c r="BW35" s="190" t="s">
        <v>1069</v>
      </c>
      <c r="BX35" s="190" t="s">
        <v>1069</v>
      </c>
      <c r="BY35" s="190" t="s">
        <v>1069</v>
      </c>
      <c r="BZ35" s="190" t="s">
        <v>1069</v>
      </c>
      <c r="CA35" s="190" t="s">
        <v>1069</v>
      </c>
      <c r="CB35" s="190" t="s">
        <v>1069</v>
      </c>
      <c r="CC35" s="190" t="s">
        <v>1069</v>
      </c>
      <c r="CD35" s="190" t="s">
        <v>1069</v>
      </c>
      <c r="CE35" s="190" t="s">
        <v>1069</v>
      </c>
      <c r="CF35" s="190" t="s">
        <v>1069</v>
      </c>
      <c r="CG35" s="190" t="s">
        <v>1069</v>
      </c>
      <c r="CH35" s="190" t="s">
        <v>1069</v>
      </c>
      <c r="CI35" s="190" t="s">
        <v>1069</v>
      </c>
      <c r="CJ35" s="190" t="s">
        <v>1069</v>
      </c>
      <c r="CK35" s="190" t="s">
        <v>1069</v>
      </c>
      <c r="CL35" s="190" t="s">
        <v>1069</v>
      </c>
      <c r="CM35" s="190" t="s">
        <v>1069</v>
      </c>
      <c r="CN35" s="190" t="s">
        <v>1069</v>
      </c>
      <c r="CO35" s="190" t="s">
        <v>1069</v>
      </c>
      <c r="CP35" s="190" t="s">
        <v>1069</v>
      </c>
      <c r="CQ35" s="190" t="s">
        <v>1069</v>
      </c>
      <c r="CR35" s="190"/>
      <c r="CS35" s="190" t="s">
        <v>1070</v>
      </c>
      <c r="CT35" s="190" t="s">
        <v>1068</v>
      </c>
      <c r="CU35" s="190" t="s">
        <v>1069</v>
      </c>
      <c r="CV35" s="190" t="s">
        <v>1071</v>
      </c>
      <c r="CW35" s="190"/>
      <c r="CX35" s="190" t="s">
        <v>1068</v>
      </c>
      <c r="CY35" s="190" t="s">
        <v>1068</v>
      </c>
      <c r="CZ35" s="190" t="s">
        <v>1068</v>
      </c>
      <c r="DA35" s="190" t="s">
        <v>1070</v>
      </c>
      <c r="DB35" s="190" t="s">
        <v>1069</v>
      </c>
      <c r="DC35" s="190" t="s">
        <v>1069</v>
      </c>
      <c r="DD35" s="190" t="s">
        <v>1070</v>
      </c>
      <c r="DE35" s="190"/>
      <c r="DF35" s="174">
        <v>34</v>
      </c>
      <c r="DH35" s="174" t="s">
        <v>1043</v>
      </c>
      <c r="DI35" s="174" t="s">
        <v>939</v>
      </c>
      <c r="DJ35" s="174">
        <v>2</v>
      </c>
      <c r="DO35" s="174">
        <v>2</v>
      </c>
      <c r="DS35" s="174">
        <v>2</v>
      </c>
      <c r="DY35" s="174">
        <v>12</v>
      </c>
      <c r="DZ35" s="174">
        <v>6</v>
      </c>
      <c r="EA35" s="174">
        <v>1</v>
      </c>
      <c r="EB35" s="174">
        <f>DZ35*10</f>
        <v>60</v>
      </c>
      <c r="ED35" s="174" t="s">
        <v>939</v>
      </c>
      <c r="EE35" s="174">
        <v>6543</v>
      </c>
      <c r="EF35" s="174">
        <v>6543</v>
      </c>
      <c r="EG35" s="174">
        <v>7654</v>
      </c>
      <c r="EH35" s="174">
        <v>6543</v>
      </c>
      <c r="EI35" s="174">
        <v>6543</v>
      </c>
      <c r="EJ35" s="174">
        <v>6543</v>
      </c>
      <c r="EK35" s="174">
        <v>6543</v>
      </c>
      <c r="EL35" s="174">
        <v>6421</v>
      </c>
      <c r="EN35" s="174" t="s">
        <v>724</v>
      </c>
      <c r="EO35" s="174">
        <v>2</v>
      </c>
      <c r="EP35" s="174">
        <v>2</v>
      </c>
      <c r="EQ35" s="174">
        <v>1</v>
      </c>
      <c r="ER35" s="174">
        <v>1</v>
      </c>
      <c r="ES35" s="174">
        <v>1</v>
      </c>
      <c r="ET35" s="174">
        <v>3</v>
      </c>
      <c r="EU35" s="174">
        <v>3</v>
      </c>
      <c r="EV35" s="174">
        <v>2</v>
      </c>
      <c r="EW35" s="174">
        <v>2</v>
      </c>
      <c r="EX35" s="174">
        <v>2</v>
      </c>
      <c r="EY35" s="174">
        <v>1</v>
      </c>
      <c r="EZ35" s="174">
        <v>2</v>
      </c>
      <c r="FA35" s="174">
        <v>2</v>
      </c>
      <c r="FB35" s="174">
        <v>4</v>
      </c>
      <c r="FC35" s="174">
        <v>1</v>
      </c>
      <c r="FD35" s="174">
        <v>3</v>
      </c>
      <c r="FE35" s="174">
        <v>2</v>
      </c>
      <c r="FF35" s="174">
        <v>2</v>
      </c>
      <c r="FG35" s="174">
        <v>2</v>
      </c>
      <c r="FH35" s="174">
        <v>1</v>
      </c>
      <c r="FI35" s="174">
        <v>1</v>
      </c>
      <c r="FJ35" s="174">
        <v>2</v>
      </c>
      <c r="FK35" s="174">
        <v>1</v>
      </c>
      <c r="FL35" s="174">
        <v>1</v>
      </c>
      <c r="FM35" s="174">
        <v>1</v>
      </c>
      <c r="FN35" s="174">
        <v>1</v>
      </c>
      <c r="FO35" s="174">
        <v>1</v>
      </c>
      <c r="FP35" s="174">
        <v>1</v>
      </c>
      <c r="FQ35" s="174">
        <v>1</v>
      </c>
      <c r="FR35" s="174">
        <v>1</v>
      </c>
      <c r="FS35" s="174">
        <v>2</v>
      </c>
      <c r="FT35" s="174">
        <v>2</v>
      </c>
      <c r="FU35" s="174">
        <v>2</v>
      </c>
      <c r="FV35" s="174">
        <v>2</v>
      </c>
      <c r="FW35" s="174">
        <v>2</v>
      </c>
      <c r="FX35" s="174">
        <v>2</v>
      </c>
      <c r="FY35" s="174">
        <v>3</v>
      </c>
      <c r="FZ35" s="174">
        <v>2</v>
      </c>
      <c r="GA35" s="174">
        <v>3</v>
      </c>
      <c r="GB35" s="174">
        <v>1</v>
      </c>
      <c r="GC35" s="174">
        <v>2</v>
      </c>
      <c r="GD35" s="174">
        <v>1</v>
      </c>
      <c r="GE35" s="174">
        <v>1</v>
      </c>
      <c r="GF35" s="174">
        <v>2</v>
      </c>
      <c r="GG35" s="174">
        <v>2</v>
      </c>
      <c r="GH35" s="174">
        <v>2</v>
      </c>
      <c r="GL35" s="174">
        <v>3</v>
      </c>
      <c r="GM35" s="174">
        <v>2</v>
      </c>
      <c r="GN35" s="174">
        <v>3</v>
      </c>
      <c r="GO35" s="174">
        <v>4</v>
      </c>
      <c r="GP35" s="174">
        <v>3</v>
      </c>
      <c r="GQ35" s="174">
        <v>2</v>
      </c>
      <c r="GR35" s="174">
        <v>2</v>
      </c>
      <c r="HA35" s="174">
        <v>34</v>
      </c>
      <c r="HB35" s="197">
        <v>32</v>
      </c>
      <c r="HC35" s="183">
        <v>36</v>
      </c>
      <c r="HD35" s="183">
        <v>61</v>
      </c>
      <c r="HE35" s="194">
        <v>25</v>
      </c>
      <c r="HF35" s="183">
        <v>97</v>
      </c>
      <c r="HG35" s="193" t="e">
        <f t="shared" si="3"/>
        <v>#N/A</v>
      </c>
      <c r="HH35" s="192" t="e">
        <f t="shared" si="4"/>
        <v>#N/A</v>
      </c>
      <c r="HI35" s="198">
        <v>25</v>
      </c>
      <c r="HJ35" s="185">
        <v>102</v>
      </c>
      <c r="HK35" s="174">
        <v>33</v>
      </c>
      <c r="HL35" s="174">
        <v>229</v>
      </c>
      <c r="HM35" s="174">
        <v>192</v>
      </c>
      <c r="HN35" s="174">
        <v>169</v>
      </c>
      <c r="HO35" s="174">
        <v>153</v>
      </c>
      <c r="HP35" s="174">
        <v>143</v>
      </c>
      <c r="HQ35" s="174">
        <v>133</v>
      </c>
      <c r="HR35" s="174">
        <v>123</v>
      </c>
      <c r="HS35" s="174">
        <v>169</v>
      </c>
      <c r="HT35" s="174">
        <v>159</v>
      </c>
      <c r="HU35" s="174">
        <v>133</v>
      </c>
      <c r="HV35" s="174">
        <v>136</v>
      </c>
      <c r="HW35" s="174">
        <v>123</v>
      </c>
      <c r="HX35" s="174">
        <v>113</v>
      </c>
      <c r="HY35" s="174">
        <v>103</v>
      </c>
      <c r="HZ35" s="174">
        <v>93</v>
      </c>
      <c r="IA35" s="174">
        <v>126</v>
      </c>
      <c r="IB35" s="174">
        <v>106</v>
      </c>
      <c r="IC35" s="174">
        <v>93</v>
      </c>
      <c r="ID35" s="174">
        <v>63</v>
      </c>
      <c r="IE35" s="174">
        <v>43</v>
      </c>
      <c r="IF35" s="174">
        <v>35</v>
      </c>
      <c r="II35" s="174">
        <f>Skills!K185</f>
        <v>-9.01</v>
      </c>
      <c r="IJ35" s="174" t="str">
        <f>Skills!B185</f>
        <v>Sweeps 2</v>
      </c>
      <c r="IM35" s="174">
        <v>1150000</v>
      </c>
      <c r="IN35" s="174">
        <v>33</v>
      </c>
    </row>
    <row r="36" spans="1:248" ht="13.35" customHeight="1" thickBot="1" x14ac:dyDescent="0.25">
      <c r="A36" s="183">
        <f t="shared" si="1"/>
        <v>35</v>
      </c>
      <c r="B36" s="183">
        <v>0</v>
      </c>
      <c r="C36" s="183">
        <f t="shared" si="2"/>
        <v>35</v>
      </c>
      <c r="E36" s="199" t="s">
        <v>760</v>
      </c>
      <c r="F36" s="200" t="s">
        <v>1068</v>
      </c>
      <c r="G36" s="200" t="s">
        <v>1072</v>
      </c>
      <c r="H36" s="200" t="s">
        <v>1042</v>
      </c>
      <c r="I36" s="200" t="s">
        <v>1070</v>
      </c>
      <c r="J36" s="200" t="s">
        <v>1030</v>
      </c>
      <c r="K36" s="200" t="s">
        <v>1073</v>
      </c>
      <c r="L36" s="200" t="s">
        <v>1073</v>
      </c>
      <c r="M36" s="200" t="s">
        <v>1073</v>
      </c>
      <c r="N36" s="200" t="s">
        <v>1073</v>
      </c>
      <c r="O36" s="200" t="s">
        <v>1073</v>
      </c>
      <c r="P36" s="200" t="s">
        <v>1073</v>
      </c>
      <c r="Q36" s="200" t="s">
        <v>1074</v>
      </c>
      <c r="R36" s="200" t="s">
        <v>1074</v>
      </c>
      <c r="S36" s="200" t="s">
        <v>1074</v>
      </c>
      <c r="T36" s="200" t="s">
        <v>1031</v>
      </c>
      <c r="U36" s="200" t="s">
        <v>1031</v>
      </c>
      <c r="V36" s="200" t="s">
        <v>1031</v>
      </c>
      <c r="W36" s="200" t="s">
        <v>1031</v>
      </c>
      <c r="X36" s="200" t="s">
        <v>1031</v>
      </c>
      <c r="Y36" s="200" t="s">
        <v>1031</v>
      </c>
      <c r="Z36" s="200"/>
      <c r="AA36" s="200" t="s">
        <v>1075</v>
      </c>
      <c r="AB36" s="200" t="s">
        <v>1075</v>
      </c>
      <c r="AC36" s="200" t="s">
        <v>1075</v>
      </c>
      <c r="AD36" s="200" t="s">
        <v>1075</v>
      </c>
      <c r="AE36" s="200"/>
      <c r="AF36" s="200" t="s">
        <v>1074</v>
      </c>
      <c r="AG36" s="200" t="s">
        <v>1073</v>
      </c>
      <c r="AH36" s="200" t="s">
        <v>1031</v>
      </c>
      <c r="AI36" s="200"/>
      <c r="AJ36" s="200" t="s">
        <v>1031</v>
      </c>
      <c r="AK36" s="200" t="s">
        <v>1074</v>
      </c>
      <c r="AL36" s="200" t="s">
        <v>1073</v>
      </c>
      <c r="AM36" s="200" t="s">
        <v>1074</v>
      </c>
      <c r="AN36" s="200"/>
      <c r="AO36" s="200" t="s">
        <v>1074</v>
      </c>
      <c r="AP36" s="200" t="s">
        <v>1074</v>
      </c>
      <c r="AQ36" s="200" t="s">
        <v>1031</v>
      </c>
      <c r="AR36" s="200"/>
      <c r="AS36" s="200" t="s">
        <v>1073</v>
      </c>
      <c r="AT36" s="200" t="s">
        <v>1073</v>
      </c>
      <c r="AU36" s="200" t="s">
        <v>1073</v>
      </c>
      <c r="AV36" s="200" t="s">
        <v>1073</v>
      </c>
      <c r="AW36" s="200" t="s">
        <v>1073</v>
      </c>
      <c r="AX36" s="200" t="s">
        <v>1073</v>
      </c>
      <c r="AY36" s="200" t="s">
        <v>1073</v>
      </c>
      <c r="AZ36" s="200" t="s">
        <v>1073</v>
      </c>
      <c r="BA36" s="200" t="s">
        <v>1073</v>
      </c>
      <c r="BB36" s="200" t="s">
        <v>1073</v>
      </c>
      <c r="BC36" s="200" t="s">
        <v>1073</v>
      </c>
      <c r="BD36" s="200" t="s">
        <v>1073</v>
      </c>
      <c r="BE36" s="200" t="s">
        <v>1073</v>
      </c>
      <c r="BF36" s="200" t="s">
        <v>1073</v>
      </c>
      <c r="BG36" s="200" t="s">
        <v>1073</v>
      </c>
      <c r="BH36" s="200" t="s">
        <v>1073</v>
      </c>
      <c r="BI36" s="200" t="s">
        <v>1073</v>
      </c>
      <c r="BJ36" s="200" t="s">
        <v>1073</v>
      </c>
      <c r="BK36" s="200" t="s">
        <v>1073</v>
      </c>
      <c r="BL36" s="200" t="s">
        <v>1073</v>
      </c>
      <c r="BM36" s="200" t="s">
        <v>1073</v>
      </c>
      <c r="BN36" s="200" t="s">
        <v>1073</v>
      </c>
      <c r="BO36" s="200" t="s">
        <v>1073</v>
      </c>
      <c r="BP36" s="200" t="s">
        <v>1073</v>
      </c>
      <c r="BQ36" s="200" t="s">
        <v>1073</v>
      </c>
      <c r="BR36" s="200" t="s">
        <v>1073</v>
      </c>
      <c r="BS36" s="200" t="s">
        <v>1073</v>
      </c>
      <c r="BT36" s="200" t="s">
        <v>1073</v>
      </c>
      <c r="BU36" s="200" t="s">
        <v>1073</v>
      </c>
      <c r="BV36" s="200" t="s">
        <v>1073</v>
      </c>
      <c r="BW36" s="200" t="s">
        <v>1073</v>
      </c>
      <c r="BX36" s="200" t="s">
        <v>1073</v>
      </c>
      <c r="BY36" s="200" t="s">
        <v>1073</v>
      </c>
      <c r="BZ36" s="200" t="s">
        <v>1073</v>
      </c>
      <c r="CA36" s="200" t="s">
        <v>1073</v>
      </c>
      <c r="CB36" s="200" t="s">
        <v>1073</v>
      </c>
      <c r="CC36" s="200" t="s">
        <v>1073</v>
      </c>
      <c r="CD36" s="200" t="s">
        <v>1073</v>
      </c>
      <c r="CE36" s="200" t="s">
        <v>1073</v>
      </c>
      <c r="CF36" s="200" t="s">
        <v>1073</v>
      </c>
      <c r="CG36" s="200" t="s">
        <v>1073</v>
      </c>
      <c r="CH36" s="200" t="s">
        <v>1073</v>
      </c>
      <c r="CI36" s="200" t="s">
        <v>1073</v>
      </c>
      <c r="CJ36" s="200" t="s">
        <v>1073</v>
      </c>
      <c r="CK36" s="200" t="s">
        <v>1073</v>
      </c>
      <c r="CL36" s="200" t="s">
        <v>1073</v>
      </c>
      <c r="CM36" s="200" t="s">
        <v>1073</v>
      </c>
      <c r="CN36" s="200" t="s">
        <v>1073</v>
      </c>
      <c r="CO36" s="200" t="s">
        <v>1073</v>
      </c>
      <c r="CP36" s="200" t="s">
        <v>1073</v>
      </c>
      <c r="CQ36" s="200" t="s">
        <v>1073</v>
      </c>
      <c r="CR36" s="200"/>
      <c r="CS36" s="200" t="s">
        <v>1067</v>
      </c>
      <c r="CT36" s="200" t="s">
        <v>1070</v>
      </c>
      <c r="CU36" s="200" t="s">
        <v>1037</v>
      </c>
      <c r="CV36" s="200" t="s">
        <v>1042</v>
      </c>
      <c r="CW36" s="200"/>
      <c r="CX36" s="200" t="s">
        <v>1031</v>
      </c>
      <c r="CY36" s="200" t="s">
        <v>1074</v>
      </c>
      <c r="CZ36" s="200" t="s">
        <v>1074</v>
      </c>
      <c r="DA36" s="200" t="s">
        <v>1068</v>
      </c>
      <c r="DB36" s="200" t="s">
        <v>1073</v>
      </c>
      <c r="DC36" s="200" t="s">
        <v>1073</v>
      </c>
      <c r="DD36" s="200" t="s">
        <v>1073</v>
      </c>
      <c r="DE36" s="200"/>
      <c r="DF36" s="201">
        <v>35</v>
      </c>
      <c r="DH36" s="182" t="s">
        <v>1076</v>
      </c>
      <c r="DI36" s="182" t="s">
        <v>964</v>
      </c>
      <c r="DJ36" s="182">
        <v>2</v>
      </c>
      <c r="DK36" s="182"/>
      <c r="DL36" s="182">
        <v>2</v>
      </c>
      <c r="DM36" s="182"/>
      <c r="DN36" s="182"/>
      <c r="DO36" s="182">
        <v>2</v>
      </c>
      <c r="DP36" s="182"/>
      <c r="DQ36" s="182">
        <v>-2</v>
      </c>
      <c r="DR36" s="182"/>
      <c r="DS36" s="182"/>
      <c r="DT36" s="182"/>
      <c r="DU36" s="182"/>
      <c r="DV36" s="182"/>
      <c r="DW36" s="182"/>
      <c r="DX36" s="182">
        <v>5</v>
      </c>
      <c r="DY36" s="182">
        <v>12</v>
      </c>
      <c r="DZ36" s="182">
        <v>6</v>
      </c>
      <c r="EA36" s="182">
        <v>1</v>
      </c>
      <c r="EB36" s="182">
        <v>45</v>
      </c>
      <c r="ED36" s="174" t="s">
        <v>964</v>
      </c>
      <c r="EE36" s="174">
        <v>6543</v>
      </c>
      <c r="EF36" s="174">
        <v>6543</v>
      </c>
      <c r="EG36" s="174">
        <v>7654</v>
      </c>
      <c r="EH36" s="174">
        <v>6543</v>
      </c>
      <c r="EI36" s="174">
        <v>6543</v>
      </c>
      <c r="EJ36" s="174">
        <v>6543</v>
      </c>
      <c r="EK36" s="174">
        <v>6543</v>
      </c>
      <c r="EL36" s="174">
        <v>6521</v>
      </c>
      <c r="EN36" s="182" t="s">
        <v>725</v>
      </c>
      <c r="EO36" s="174">
        <v>2</v>
      </c>
      <c r="EP36" s="174">
        <v>2</v>
      </c>
      <c r="EQ36" s="174">
        <v>1</v>
      </c>
      <c r="ER36" s="174">
        <v>1</v>
      </c>
      <c r="ES36" s="174">
        <v>1</v>
      </c>
      <c r="ET36" s="174">
        <v>2</v>
      </c>
      <c r="EU36" s="174">
        <v>2</v>
      </c>
      <c r="EV36" s="174">
        <v>1</v>
      </c>
      <c r="EW36" s="174">
        <v>1</v>
      </c>
      <c r="EX36" s="174">
        <v>1</v>
      </c>
      <c r="EY36" s="174">
        <v>1</v>
      </c>
      <c r="EZ36" s="174">
        <v>1</v>
      </c>
      <c r="FA36" s="174">
        <v>2</v>
      </c>
      <c r="FB36" s="174">
        <v>1</v>
      </c>
      <c r="FC36" s="174">
        <v>1</v>
      </c>
      <c r="FD36" s="174">
        <v>1</v>
      </c>
      <c r="FE36" s="174">
        <v>1</v>
      </c>
      <c r="FF36" s="174">
        <v>1</v>
      </c>
      <c r="FG36" s="174">
        <v>1</v>
      </c>
      <c r="FH36" s="174">
        <v>1</v>
      </c>
      <c r="FI36" s="174">
        <v>1</v>
      </c>
      <c r="FJ36" s="174">
        <v>1</v>
      </c>
      <c r="FK36" s="174">
        <v>1</v>
      </c>
      <c r="FL36" s="174">
        <v>1</v>
      </c>
      <c r="FM36" s="174">
        <v>1</v>
      </c>
      <c r="FN36" s="174">
        <v>1</v>
      </c>
      <c r="FO36" s="174">
        <v>1</v>
      </c>
      <c r="FP36" s="174">
        <v>1</v>
      </c>
      <c r="FQ36" s="174">
        <v>1</v>
      </c>
      <c r="FR36" s="174">
        <v>1</v>
      </c>
      <c r="FS36" s="174">
        <v>2</v>
      </c>
      <c r="FT36" s="174">
        <v>2</v>
      </c>
      <c r="FU36" s="174">
        <v>2</v>
      </c>
      <c r="FV36" s="174">
        <v>1</v>
      </c>
      <c r="FW36" s="174">
        <v>1</v>
      </c>
      <c r="FX36" s="174">
        <v>1</v>
      </c>
      <c r="FY36" s="174">
        <v>1</v>
      </c>
      <c r="FZ36" s="174">
        <v>2</v>
      </c>
      <c r="GA36" s="174">
        <v>2</v>
      </c>
      <c r="GB36" s="174">
        <v>1</v>
      </c>
      <c r="GC36" s="174">
        <v>2</v>
      </c>
      <c r="GD36" s="174">
        <v>1</v>
      </c>
      <c r="GE36" s="174">
        <v>1</v>
      </c>
      <c r="GF36" s="174">
        <v>1</v>
      </c>
      <c r="GG36" s="174">
        <v>2</v>
      </c>
      <c r="GH36" s="174">
        <v>2</v>
      </c>
      <c r="GL36" s="174">
        <v>1</v>
      </c>
      <c r="GM36" s="174">
        <v>1</v>
      </c>
      <c r="GN36" s="174">
        <v>1</v>
      </c>
      <c r="GO36" s="174">
        <v>1</v>
      </c>
      <c r="GP36" s="174">
        <v>1</v>
      </c>
      <c r="GQ36" s="174">
        <v>2</v>
      </c>
      <c r="GR36" s="174">
        <v>2</v>
      </c>
      <c r="HA36" s="174">
        <v>35</v>
      </c>
      <c r="HB36" s="197">
        <v>33</v>
      </c>
      <c r="HC36" s="183">
        <v>37</v>
      </c>
      <c r="HD36" s="183">
        <v>62</v>
      </c>
      <c r="HE36" s="194">
        <v>25</v>
      </c>
      <c r="HF36" s="183">
        <v>98</v>
      </c>
      <c r="HG36" s="193" t="e">
        <f t="shared" si="3"/>
        <v>#N/A</v>
      </c>
      <c r="HH36" s="192" t="e">
        <f t="shared" si="4"/>
        <v>#N/A</v>
      </c>
      <c r="HI36" s="198">
        <v>25</v>
      </c>
      <c r="HJ36" s="185">
        <v>103</v>
      </c>
      <c r="HK36" s="174">
        <v>34</v>
      </c>
      <c r="HL36" s="174">
        <v>232</v>
      </c>
      <c r="HM36" s="174">
        <v>196</v>
      </c>
      <c r="HN36" s="174">
        <v>172</v>
      </c>
      <c r="HO36" s="174">
        <v>154</v>
      </c>
      <c r="HP36" s="174">
        <v>144</v>
      </c>
      <c r="HQ36" s="174">
        <v>134</v>
      </c>
      <c r="HR36" s="174">
        <v>124</v>
      </c>
      <c r="HS36" s="174">
        <v>172</v>
      </c>
      <c r="HT36" s="174">
        <v>162</v>
      </c>
      <c r="HU36" s="174">
        <v>134</v>
      </c>
      <c r="HV36" s="174">
        <v>138</v>
      </c>
      <c r="HW36" s="174">
        <v>124</v>
      </c>
      <c r="HX36" s="174">
        <v>114</v>
      </c>
      <c r="HY36" s="174">
        <v>104</v>
      </c>
      <c r="HZ36" s="174">
        <v>94</v>
      </c>
      <c r="IA36" s="174">
        <v>128</v>
      </c>
      <c r="IB36" s="174">
        <v>108</v>
      </c>
      <c r="IC36" s="174">
        <v>94</v>
      </c>
      <c r="ID36" s="174">
        <v>64</v>
      </c>
      <c r="IE36" s="174">
        <v>44</v>
      </c>
      <c r="IF36" s="174">
        <v>36</v>
      </c>
      <c r="II36" s="174">
        <f>Skills!K186</f>
        <v>-9.01</v>
      </c>
      <c r="IJ36" s="174" t="str">
        <f>Skills!B186</f>
        <v>Sweeps 1</v>
      </c>
      <c r="IM36" s="174">
        <v>1200000</v>
      </c>
      <c r="IN36" s="174">
        <v>34</v>
      </c>
    </row>
    <row r="37" spans="1:248" ht="13.35" customHeight="1" thickBot="1" x14ac:dyDescent="0.25">
      <c r="A37" s="183">
        <f t="shared" si="1"/>
        <v>36</v>
      </c>
      <c r="B37" s="183">
        <v>0</v>
      </c>
      <c r="C37" s="183">
        <f t="shared" si="2"/>
        <v>36</v>
      </c>
      <c r="D37" s="174">
        <v>120</v>
      </c>
      <c r="E37" s="189" t="s">
        <v>764</v>
      </c>
      <c r="F37" s="190" t="s">
        <v>1077</v>
      </c>
      <c r="G37" s="190" t="s">
        <v>1077</v>
      </c>
      <c r="H37" s="190" t="s">
        <v>1077</v>
      </c>
      <c r="I37" s="190" t="s">
        <v>1077</v>
      </c>
      <c r="J37" s="190" t="s">
        <v>1077</v>
      </c>
      <c r="K37" s="190" t="s">
        <v>1078</v>
      </c>
      <c r="L37" s="190" t="s">
        <v>1078</v>
      </c>
      <c r="M37" s="190" t="s">
        <v>1078</v>
      </c>
      <c r="N37" s="190" t="s">
        <v>1078</v>
      </c>
      <c r="O37" s="190" t="s">
        <v>1078</v>
      </c>
      <c r="P37" s="190" t="s">
        <v>1078</v>
      </c>
      <c r="Q37" s="190" t="s">
        <v>1079</v>
      </c>
      <c r="R37" s="190" t="s">
        <v>1079</v>
      </c>
      <c r="S37" s="190" t="s">
        <v>1079</v>
      </c>
      <c r="T37" s="190" t="s">
        <v>1080</v>
      </c>
      <c r="U37" s="190" t="s">
        <v>1080</v>
      </c>
      <c r="V37" s="190" t="s">
        <v>1080</v>
      </c>
      <c r="W37" s="190" t="s">
        <v>1080</v>
      </c>
      <c r="X37" s="190" t="s">
        <v>1080</v>
      </c>
      <c r="Y37" s="190" t="s">
        <v>1080</v>
      </c>
      <c r="Z37" s="190"/>
      <c r="AA37" s="190" t="s">
        <v>1081</v>
      </c>
      <c r="AB37" s="190" t="s">
        <v>1081</v>
      </c>
      <c r="AC37" s="190" t="s">
        <v>1079</v>
      </c>
      <c r="AD37" s="190" t="s">
        <v>1079</v>
      </c>
      <c r="AE37" s="190"/>
      <c r="AF37" s="190" t="s">
        <v>1079</v>
      </c>
      <c r="AG37" s="190" t="s">
        <v>1078</v>
      </c>
      <c r="AH37" s="190" t="s">
        <v>1080</v>
      </c>
      <c r="AI37" s="190"/>
      <c r="AJ37" s="190" t="s">
        <v>1080</v>
      </c>
      <c r="AK37" s="190" t="s">
        <v>1079</v>
      </c>
      <c r="AL37" s="190" t="s">
        <v>1078</v>
      </c>
      <c r="AM37" s="190" t="s">
        <v>1079</v>
      </c>
      <c r="AN37" s="190"/>
      <c r="AO37" s="190" t="s">
        <v>1079</v>
      </c>
      <c r="AP37" s="190" t="s">
        <v>1079</v>
      </c>
      <c r="AQ37" s="190" t="s">
        <v>1080</v>
      </c>
      <c r="AR37" s="190"/>
      <c r="AS37" s="190" t="s">
        <v>1078</v>
      </c>
      <c r="AT37" s="190" t="s">
        <v>1078</v>
      </c>
      <c r="AU37" s="190" t="s">
        <v>1078</v>
      </c>
      <c r="AV37" s="190" t="s">
        <v>1078</v>
      </c>
      <c r="AW37" s="190" t="s">
        <v>1078</v>
      </c>
      <c r="AX37" s="190" t="s">
        <v>1078</v>
      </c>
      <c r="AY37" s="190" t="s">
        <v>1078</v>
      </c>
      <c r="AZ37" s="190" t="s">
        <v>1078</v>
      </c>
      <c r="BA37" s="190" t="s">
        <v>1078</v>
      </c>
      <c r="BB37" s="190" t="s">
        <v>1078</v>
      </c>
      <c r="BC37" s="190" t="s">
        <v>1078</v>
      </c>
      <c r="BD37" s="190" t="s">
        <v>1078</v>
      </c>
      <c r="BE37" s="190" t="s">
        <v>1078</v>
      </c>
      <c r="BF37" s="190" t="s">
        <v>1078</v>
      </c>
      <c r="BG37" s="190" t="s">
        <v>1078</v>
      </c>
      <c r="BH37" s="190" t="s">
        <v>1078</v>
      </c>
      <c r="BI37" s="190" t="s">
        <v>1078</v>
      </c>
      <c r="BJ37" s="190" t="s">
        <v>1078</v>
      </c>
      <c r="BK37" s="190" t="s">
        <v>1078</v>
      </c>
      <c r="BL37" s="190" t="s">
        <v>1078</v>
      </c>
      <c r="BM37" s="190" t="s">
        <v>1078</v>
      </c>
      <c r="BN37" s="190" t="s">
        <v>1078</v>
      </c>
      <c r="BO37" s="190" t="s">
        <v>1078</v>
      </c>
      <c r="BP37" s="190" t="s">
        <v>1078</v>
      </c>
      <c r="BQ37" s="190" t="s">
        <v>1078</v>
      </c>
      <c r="BR37" s="190" t="s">
        <v>1078</v>
      </c>
      <c r="BS37" s="190" t="s">
        <v>1078</v>
      </c>
      <c r="BT37" s="190" t="s">
        <v>1078</v>
      </c>
      <c r="BU37" s="190" t="s">
        <v>1078</v>
      </c>
      <c r="BV37" s="190" t="s">
        <v>1078</v>
      </c>
      <c r="BW37" s="190" t="s">
        <v>1078</v>
      </c>
      <c r="BX37" s="190" t="s">
        <v>1078</v>
      </c>
      <c r="BY37" s="190" t="s">
        <v>1078</v>
      </c>
      <c r="BZ37" s="190" t="s">
        <v>1078</v>
      </c>
      <c r="CA37" s="190" t="s">
        <v>1078</v>
      </c>
      <c r="CB37" s="190" t="s">
        <v>1078</v>
      </c>
      <c r="CC37" s="190" t="s">
        <v>1078</v>
      </c>
      <c r="CD37" s="190" t="s">
        <v>1078</v>
      </c>
      <c r="CE37" s="190" t="s">
        <v>1078</v>
      </c>
      <c r="CF37" s="190" t="s">
        <v>1078</v>
      </c>
      <c r="CG37" s="190" t="s">
        <v>1078</v>
      </c>
      <c r="CH37" s="190" t="s">
        <v>1078</v>
      </c>
      <c r="CI37" s="190" t="s">
        <v>1078</v>
      </c>
      <c r="CJ37" s="190" t="s">
        <v>1078</v>
      </c>
      <c r="CK37" s="190" t="s">
        <v>1078</v>
      </c>
      <c r="CL37" s="190" t="s">
        <v>1078</v>
      </c>
      <c r="CM37" s="190" t="s">
        <v>1078</v>
      </c>
      <c r="CN37" s="190" t="s">
        <v>1078</v>
      </c>
      <c r="CO37" s="190" t="s">
        <v>1078</v>
      </c>
      <c r="CP37" s="190" t="s">
        <v>1078</v>
      </c>
      <c r="CQ37" s="190" t="s">
        <v>1078</v>
      </c>
      <c r="CR37" s="190"/>
      <c r="CS37" s="190" t="s">
        <v>1077</v>
      </c>
      <c r="CT37" s="190" t="s">
        <v>1077</v>
      </c>
      <c r="CU37" s="190" t="s">
        <v>1082</v>
      </c>
      <c r="CV37" s="190" t="s">
        <v>1077</v>
      </c>
      <c r="CW37" s="190"/>
      <c r="CX37" s="190" t="s">
        <v>1080</v>
      </c>
      <c r="CY37" s="190" t="s">
        <v>1079</v>
      </c>
      <c r="CZ37" s="190" t="s">
        <v>1079</v>
      </c>
      <c r="DA37" s="190" t="s">
        <v>1083</v>
      </c>
      <c r="DB37" s="190" t="s">
        <v>1078</v>
      </c>
      <c r="DC37" s="190" t="s">
        <v>1078</v>
      </c>
      <c r="DD37" s="190" t="s">
        <v>1078</v>
      </c>
      <c r="DE37" s="190"/>
      <c r="DF37" s="174">
        <v>36</v>
      </c>
      <c r="DH37" s="174" t="s">
        <v>1024</v>
      </c>
      <c r="DI37" s="174" t="s">
        <v>984</v>
      </c>
      <c r="DL37" s="174">
        <v>2</v>
      </c>
      <c r="DO37" s="174">
        <v>2</v>
      </c>
      <c r="DY37" s="174">
        <v>12</v>
      </c>
      <c r="DZ37" s="174">
        <v>6</v>
      </c>
      <c r="EA37" s="174">
        <v>1</v>
      </c>
      <c r="EB37" s="174">
        <f>DZ37*10</f>
        <v>60</v>
      </c>
      <c r="ED37" s="174" t="s">
        <v>984</v>
      </c>
      <c r="EE37" s="174">
        <v>6543</v>
      </c>
      <c r="EF37" s="174">
        <v>6543</v>
      </c>
      <c r="EG37" s="174">
        <v>7654</v>
      </c>
      <c r="EH37" s="174">
        <v>6543</v>
      </c>
      <c r="EI37" s="174">
        <v>6543</v>
      </c>
      <c r="EJ37" s="174">
        <v>6543</v>
      </c>
      <c r="EK37" s="174">
        <v>6543</v>
      </c>
      <c r="EL37" s="174">
        <v>7521</v>
      </c>
      <c r="EN37" s="174" t="s">
        <v>1084</v>
      </c>
      <c r="EO37" s="174">
        <v>2</v>
      </c>
      <c r="EP37" s="174">
        <v>2</v>
      </c>
      <c r="EQ37" s="174">
        <v>1</v>
      </c>
      <c r="ER37" s="174">
        <v>1</v>
      </c>
      <c r="ES37" s="174">
        <v>1</v>
      </c>
      <c r="ET37" s="174">
        <v>2</v>
      </c>
      <c r="EU37" s="174">
        <v>2</v>
      </c>
      <c r="EV37" s="174">
        <v>1</v>
      </c>
      <c r="EW37" s="174">
        <v>1</v>
      </c>
      <c r="EX37" s="174">
        <v>1</v>
      </c>
      <c r="EY37" s="174">
        <v>1</v>
      </c>
      <c r="EZ37" s="174">
        <v>1</v>
      </c>
      <c r="FA37" s="174">
        <v>2</v>
      </c>
      <c r="FB37" s="174">
        <v>1</v>
      </c>
      <c r="FC37" s="174">
        <v>1</v>
      </c>
      <c r="FD37" s="174">
        <v>1</v>
      </c>
      <c r="FE37" s="174">
        <v>1</v>
      </c>
      <c r="FF37" s="174">
        <v>1</v>
      </c>
      <c r="FG37" s="174">
        <v>1</v>
      </c>
      <c r="FH37" s="174">
        <v>1</v>
      </c>
      <c r="FI37" s="174">
        <v>1</v>
      </c>
      <c r="FJ37" s="174">
        <v>1</v>
      </c>
      <c r="FK37" s="174">
        <v>1</v>
      </c>
      <c r="FL37" s="174">
        <v>1</v>
      </c>
      <c r="FM37" s="174">
        <v>1</v>
      </c>
      <c r="FN37" s="174">
        <v>1</v>
      </c>
      <c r="FO37" s="174">
        <v>1</v>
      </c>
      <c r="FP37" s="174">
        <v>1</v>
      </c>
      <c r="FQ37" s="174">
        <v>1</v>
      </c>
      <c r="FR37" s="174">
        <v>1</v>
      </c>
      <c r="FS37" s="174">
        <v>2</v>
      </c>
      <c r="FT37" s="174">
        <v>2</v>
      </c>
      <c r="FU37" s="174">
        <v>2</v>
      </c>
      <c r="FV37" s="174">
        <v>1</v>
      </c>
      <c r="FW37" s="174">
        <v>1</v>
      </c>
      <c r="FX37" s="174">
        <v>1</v>
      </c>
      <c r="FY37" s="174">
        <v>1</v>
      </c>
      <c r="FZ37" s="174">
        <v>2</v>
      </c>
      <c r="GA37" s="174">
        <v>2</v>
      </c>
      <c r="GB37" s="174">
        <v>1</v>
      </c>
      <c r="GC37" s="174">
        <v>2</v>
      </c>
      <c r="GD37" s="174">
        <v>1</v>
      </c>
      <c r="GE37" s="174">
        <v>1</v>
      </c>
      <c r="GF37" s="174">
        <v>1</v>
      </c>
      <c r="GG37" s="174">
        <v>2</v>
      </c>
      <c r="GH37" s="174">
        <v>2</v>
      </c>
      <c r="GL37" s="174">
        <v>1</v>
      </c>
      <c r="GM37" s="174">
        <v>1</v>
      </c>
      <c r="GN37" s="174">
        <v>1</v>
      </c>
      <c r="GO37" s="174">
        <v>1</v>
      </c>
      <c r="GP37" s="174">
        <v>1</v>
      </c>
      <c r="GQ37" s="174">
        <v>2</v>
      </c>
      <c r="GR37" s="174">
        <v>2</v>
      </c>
      <c r="HA37" s="174">
        <v>36</v>
      </c>
      <c r="HB37" s="197">
        <v>34</v>
      </c>
      <c r="HC37" s="183">
        <v>37</v>
      </c>
      <c r="HD37" s="183">
        <v>62</v>
      </c>
      <c r="HE37" s="194">
        <v>25</v>
      </c>
      <c r="HF37" s="183">
        <v>99</v>
      </c>
      <c r="HG37" s="193" t="e">
        <f t="shared" si="3"/>
        <v>#N/A</v>
      </c>
      <c r="HH37" s="192" t="e">
        <f t="shared" si="4"/>
        <v>#N/A</v>
      </c>
      <c r="HI37" s="198">
        <v>25</v>
      </c>
      <c r="HJ37" s="185">
        <v>104</v>
      </c>
      <c r="HK37" s="174">
        <v>35</v>
      </c>
      <c r="HL37" s="174">
        <v>235</v>
      </c>
      <c r="HM37" s="174">
        <v>200</v>
      </c>
      <c r="HN37" s="174">
        <v>175</v>
      </c>
      <c r="HO37" s="174">
        <v>155</v>
      </c>
      <c r="HP37" s="174">
        <v>145</v>
      </c>
      <c r="HQ37" s="174">
        <v>135</v>
      </c>
      <c r="HR37" s="174">
        <v>125</v>
      </c>
      <c r="HS37" s="174">
        <v>175</v>
      </c>
      <c r="HT37" s="174">
        <v>165</v>
      </c>
      <c r="HU37" s="174">
        <v>135</v>
      </c>
      <c r="HV37" s="174">
        <v>140</v>
      </c>
      <c r="HW37" s="174">
        <v>125</v>
      </c>
      <c r="HX37" s="174">
        <v>115</v>
      </c>
      <c r="HY37" s="174">
        <v>105</v>
      </c>
      <c r="HZ37" s="174">
        <v>95</v>
      </c>
      <c r="IA37" s="174">
        <v>130</v>
      </c>
      <c r="IB37" s="174">
        <v>110</v>
      </c>
      <c r="IC37" s="174">
        <v>95</v>
      </c>
      <c r="ID37" s="174">
        <v>65</v>
      </c>
      <c r="IE37" s="174">
        <v>45</v>
      </c>
      <c r="IF37" s="174">
        <v>37</v>
      </c>
      <c r="II37" s="174">
        <f>Skills!K183</f>
        <v>-21.009999999999998</v>
      </c>
      <c r="IJ37" s="174" t="str">
        <f>Skills!B183</f>
        <v>Sweeps 4</v>
      </c>
      <c r="IM37" s="174">
        <v>1250000</v>
      </c>
      <c r="IN37" s="174">
        <v>35</v>
      </c>
    </row>
    <row r="38" spans="1:248" ht="13.35" customHeight="1" thickBot="1" x14ac:dyDescent="0.25">
      <c r="A38" s="183">
        <f t="shared" si="1"/>
        <v>37</v>
      </c>
      <c r="B38" s="183">
        <v>0</v>
      </c>
      <c r="C38" s="183">
        <f t="shared" si="2"/>
        <v>37</v>
      </c>
      <c r="D38" s="174">
        <v>90</v>
      </c>
      <c r="E38" s="189" t="s">
        <v>762</v>
      </c>
      <c r="F38" s="190" t="s">
        <v>1085</v>
      </c>
      <c r="G38" s="190" t="s">
        <v>1080</v>
      </c>
      <c r="H38" s="190" t="s">
        <v>1079</v>
      </c>
      <c r="I38" s="190" t="s">
        <v>1086</v>
      </c>
      <c r="J38" s="190" t="s">
        <v>1087</v>
      </c>
      <c r="K38" s="190" t="s">
        <v>1088</v>
      </c>
      <c r="L38" s="190" t="s">
        <v>1088</v>
      </c>
      <c r="M38" s="190" t="s">
        <v>1088</v>
      </c>
      <c r="N38" s="190" t="s">
        <v>1088</v>
      </c>
      <c r="O38" s="190" t="s">
        <v>1088</v>
      </c>
      <c r="P38" s="190" t="s">
        <v>1088</v>
      </c>
      <c r="Q38" s="190" t="s">
        <v>1089</v>
      </c>
      <c r="R38" s="190" t="s">
        <v>1089</v>
      </c>
      <c r="S38" s="190" t="s">
        <v>1089</v>
      </c>
      <c r="T38" s="190" t="s">
        <v>1090</v>
      </c>
      <c r="U38" s="190" t="s">
        <v>1090</v>
      </c>
      <c r="V38" s="190" t="s">
        <v>1090</v>
      </c>
      <c r="W38" s="190" t="s">
        <v>1090</v>
      </c>
      <c r="X38" s="190" t="s">
        <v>1090</v>
      </c>
      <c r="Y38" s="190" t="s">
        <v>1090</v>
      </c>
      <c r="Z38" s="190"/>
      <c r="AA38" s="190" t="s">
        <v>1074</v>
      </c>
      <c r="AB38" s="190" t="s">
        <v>1074</v>
      </c>
      <c r="AC38" s="190" t="s">
        <v>1089</v>
      </c>
      <c r="AD38" s="190" t="s">
        <v>1089</v>
      </c>
      <c r="AE38" s="190"/>
      <c r="AF38" s="190" t="s">
        <v>1089</v>
      </c>
      <c r="AG38" s="190" t="s">
        <v>1088</v>
      </c>
      <c r="AH38" s="190" t="s">
        <v>1090</v>
      </c>
      <c r="AI38" s="190"/>
      <c r="AJ38" s="190" t="s">
        <v>1090</v>
      </c>
      <c r="AK38" s="190" t="s">
        <v>1089</v>
      </c>
      <c r="AL38" s="190" t="s">
        <v>1088</v>
      </c>
      <c r="AM38" s="190" t="s">
        <v>1089</v>
      </c>
      <c r="AN38" s="190"/>
      <c r="AO38" s="190" t="s">
        <v>1089</v>
      </c>
      <c r="AP38" s="190" t="s">
        <v>1089</v>
      </c>
      <c r="AQ38" s="190" t="s">
        <v>1090</v>
      </c>
      <c r="AR38" s="190"/>
      <c r="AS38" s="190" t="s">
        <v>1088</v>
      </c>
      <c r="AT38" s="190" t="s">
        <v>1088</v>
      </c>
      <c r="AU38" s="190" t="s">
        <v>1088</v>
      </c>
      <c r="AV38" s="190" t="s">
        <v>1088</v>
      </c>
      <c r="AW38" s="190" t="s">
        <v>1088</v>
      </c>
      <c r="AX38" s="190" t="s">
        <v>1088</v>
      </c>
      <c r="AY38" s="190" t="s">
        <v>1088</v>
      </c>
      <c r="AZ38" s="190" t="s">
        <v>1088</v>
      </c>
      <c r="BA38" s="190" t="s">
        <v>1088</v>
      </c>
      <c r="BB38" s="190" t="s">
        <v>1088</v>
      </c>
      <c r="BC38" s="190" t="s">
        <v>1088</v>
      </c>
      <c r="BD38" s="190" t="s">
        <v>1088</v>
      </c>
      <c r="BE38" s="190" t="s">
        <v>1088</v>
      </c>
      <c r="BF38" s="190" t="s">
        <v>1088</v>
      </c>
      <c r="BG38" s="190" t="s">
        <v>1088</v>
      </c>
      <c r="BH38" s="190" t="s">
        <v>1088</v>
      </c>
      <c r="BI38" s="190" t="s">
        <v>1088</v>
      </c>
      <c r="BJ38" s="190" t="s">
        <v>1088</v>
      </c>
      <c r="BK38" s="190" t="s">
        <v>1088</v>
      </c>
      <c r="BL38" s="190" t="s">
        <v>1088</v>
      </c>
      <c r="BM38" s="190" t="s">
        <v>1088</v>
      </c>
      <c r="BN38" s="190" t="s">
        <v>1088</v>
      </c>
      <c r="BO38" s="190" t="s">
        <v>1088</v>
      </c>
      <c r="BP38" s="190" t="s">
        <v>1088</v>
      </c>
      <c r="BQ38" s="190" t="s">
        <v>1088</v>
      </c>
      <c r="BR38" s="190" t="s">
        <v>1088</v>
      </c>
      <c r="BS38" s="190" t="s">
        <v>1088</v>
      </c>
      <c r="BT38" s="190" t="s">
        <v>1088</v>
      </c>
      <c r="BU38" s="190" t="s">
        <v>1088</v>
      </c>
      <c r="BV38" s="190" t="s">
        <v>1088</v>
      </c>
      <c r="BW38" s="190" t="s">
        <v>1088</v>
      </c>
      <c r="BX38" s="190" t="s">
        <v>1088</v>
      </c>
      <c r="BY38" s="190" t="s">
        <v>1088</v>
      </c>
      <c r="BZ38" s="190" t="s">
        <v>1088</v>
      </c>
      <c r="CA38" s="190" t="s">
        <v>1088</v>
      </c>
      <c r="CB38" s="190" t="s">
        <v>1088</v>
      </c>
      <c r="CC38" s="190" t="s">
        <v>1088</v>
      </c>
      <c r="CD38" s="190" t="s">
        <v>1088</v>
      </c>
      <c r="CE38" s="190" t="s">
        <v>1088</v>
      </c>
      <c r="CF38" s="190" t="s">
        <v>1088</v>
      </c>
      <c r="CG38" s="190" t="s">
        <v>1088</v>
      </c>
      <c r="CH38" s="190" t="s">
        <v>1088</v>
      </c>
      <c r="CI38" s="190" t="s">
        <v>1088</v>
      </c>
      <c r="CJ38" s="190" t="s">
        <v>1088</v>
      </c>
      <c r="CK38" s="190" t="s">
        <v>1088</v>
      </c>
      <c r="CL38" s="190" t="s">
        <v>1088</v>
      </c>
      <c r="CM38" s="190" t="s">
        <v>1088</v>
      </c>
      <c r="CN38" s="190" t="s">
        <v>1088</v>
      </c>
      <c r="CO38" s="190" t="s">
        <v>1088</v>
      </c>
      <c r="CP38" s="190" t="s">
        <v>1088</v>
      </c>
      <c r="CQ38" s="190" t="s">
        <v>1088</v>
      </c>
      <c r="CR38" s="190"/>
      <c r="CS38" s="190" t="s">
        <v>1091</v>
      </c>
      <c r="CT38" s="190" t="s">
        <v>1080</v>
      </c>
      <c r="CU38" s="190" t="s">
        <v>1078</v>
      </c>
      <c r="CV38" s="190" t="s">
        <v>1079</v>
      </c>
      <c r="CW38" s="190"/>
      <c r="CX38" s="190" t="s">
        <v>1090</v>
      </c>
      <c r="CY38" s="190" t="s">
        <v>1089</v>
      </c>
      <c r="CZ38" s="190" t="s">
        <v>1089</v>
      </c>
      <c r="DA38" s="190" t="s">
        <v>1092</v>
      </c>
      <c r="DB38" s="190" t="s">
        <v>1088</v>
      </c>
      <c r="DC38" s="190" t="s">
        <v>1088</v>
      </c>
      <c r="DD38" s="190" t="s">
        <v>1088</v>
      </c>
      <c r="DE38" s="190"/>
      <c r="DF38" s="174">
        <v>37</v>
      </c>
      <c r="DH38" s="174" t="s">
        <v>907</v>
      </c>
      <c r="DI38" s="174" t="s">
        <v>973</v>
      </c>
      <c r="DL38" s="174">
        <v>2</v>
      </c>
      <c r="DO38" s="174">
        <v>2</v>
      </c>
      <c r="DQ38" s="174">
        <v>-2</v>
      </c>
      <c r="DR38" s="174">
        <v>2</v>
      </c>
      <c r="DY38" s="174">
        <v>12</v>
      </c>
      <c r="DZ38" s="174">
        <v>6</v>
      </c>
      <c r="EA38" s="174">
        <v>1</v>
      </c>
      <c r="EB38" s="174">
        <v>50</v>
      </c>
      <c r="ED38" s="174" t="s">
        <v>973</v>
      </c>
      <c r="EE38" s="174">
        <v>6543</v>
      </c>
      <c r="EF38" s="174">
        <v>6543</v>
      </c>
      <c r="EG38" s="174">
        <v>7654</v>
      </c>
      <c r="EH38" s="174">
        <v>6543</v>
      </c>
      <c r="EI38" s="174">
        <v>6543</v>
      </c>
      <c r="EJ38" s="174">
        <v>6543</v>
      </c>
      <c r="EK38" s="174">
        <v>6543</v>
      </c>
      <c r="EL38" s="174">
        <v>6421</v>
      </c>
      <c r="EN38" s="182" t="s">
        <v>728</v>
      </c>
      <c r="EO38" s="174">
        <v>1</v>
      </c>
      <c r="EP38" s="174">
        <v>1</v>
      </c>
      <c r="EQ38" s="174">
        <v>1</v>
      </c>
      <c r="ES38" s="174">
        <v>1</v>
      </c>
      <c r="ET38" s="174">
        <v>1</v>
      </c>
      <c r="EU38" s="174">
        <v>1</v>
      </c>
      <c r="EV38" s="174">
        <v>1</v>
      </c>
      <c r="EW38" s="174">
        <v>1</v>
      </c>
      <c r="EX38" s="174">
        <v>1</v>
      </c>
      <c r="EY38" s="174">
        <v>1</v>
      </c>
      <c r="EZ38" s="174">
        <v>1</v>
      </c>
      <c r="FA38" s="174">
        <v>1</v>
      </c>
      <c r="FG38" s="174">
        <v>1</v>
      </c>
      <c r="FH38" s="174">
        <v>1</v>
      </c>
      <c r="FI38" s="174">
        <v>1</v>
      </c>
      <c r="FK38" s="174">
        <v>1</v>
      </c>
      <c r="FL38" s="174">
        <v>1</v>
      </c>
      <c r="FM38" s="174">
        <v>1</v>
      </c>
      <c r="FN38" s="174">
        <v>1</v>
      </c>
      <c r="FO38" s="174">
        <v>1</v>
      </c>
      <c r="FP38" s="174">
        <v>1</v>
      </c>
      <c r="FQ38" s="174">
        <v>1</v>
      </c>
      <c r="FR38" s="174">
        <v>1</v>
      </c>
      <c r="FV38" s="174">
        <v>1</v>
      </c>
      <c r="FW38" s="174">
        <v>1</v>
      </c>
      <c r="FX38" s="174">
        <v>1</v>
      </c>
      <c r="FY38" s="174">
        <v>1</v>
      </c>
      <c r="FZ38" s="174">
        <v>2</v>
      </c>
      <c r="GA38" s="174">
        <v>1</v>
      </c>
      <c r="GB38" s="174">
        <v>1</v>
      </c>
      <c r="GC38" s="174">
        <v>1</v>
      </c>
      <c r="GD38" s="174">
        <v>1</v>
      </c>
      <c r="GE38" s="174">
        <v>1</v>
      </c>
      <c r="GF38" s="174">
        <v>1</v>
      </c>
      <c r="GG38" s="174">
        <v>1</v>
      </c>
      <c r="GH38" s="174">
        <v>1</v>
      </c>
      <c r="GL38" s="174">
        <v>1</v>
      </c>
      <c r="GN38" s="174">
        <v>1</v>
      </c>
      <c r="GO38" s="174">
        <v>1</v>
      </c>
      <c r="GP38" s="174">
        <v>1</v>
      </c>
      <c r="HA38" s="174">
        <v>37</v>
      </c>
      <c r="HB38" s="197">
        <v>35</v>
      </c>
      <c r="HC38" s="183">
        <v>38</v>
      </c>
      <c r="HD38" s="183">
        <v>63</v>
      </c>
      <c r="HE38" s="194">
        <v>25</v>
      </c>
      <c r="HF38" s="183">
        <v>100</v>
      </c>
      <c r="HG38" s="193" t="e">
        <f t="shared" si="3"/>
        <v>#N/A</v>
      </c>
      <c r="HH38" s="192" t="e">
        <f t="shared" si="4"/>
        <v>#N/A</v>
      </c>
      <c r="HI38" s="198">
        <v>25</v>
      </c>
      <c r="HJ38" s="185">
        <v>105</v>
      </c>
      <c r="HK38" s="174">
        <v>36</v>
      </c>
      <c r="HL38" s="174">
        <v>238</v>
      </c>
      <c r="HM38" s="174">
        <v>204</v>
      </c>
      <c r="HN38" s="174">
        <v>178</v>
      </c>
      <c r="HO38" s="174">
        <v>156</v>
      </c>
      <c r="HP38" s="174">
        <v>146</v>
      </c>
      <c r="HQ38" s="174">
        <v>136</v>
      </c>
      <c r="HR38" s="174">
        <v>126</v>
      </c>
      <c r="HS38" s="174">
        <v>178</v>
      </c>
      <c r="HT38" s="174">
        <v>168</v>
      </c>
      <c r="HU38" s="174">
        <v>136</v>
      </c>
      <c r="HV38" s="174">
        <v>142</v>
      </c>
      <c r="HW38" s="174">
        <v>126</v>
      </c>
      <c r="HX38" s="174">
        <v>116</v>
      </c>
      <c r="HY38" s="174">
        <v>106</v>
      </c>
      <c r="HZ38" s="174">
        <v>96</v>
      </c>
      <c r="IA38" s="174">
        <v>132</v>
      </c>
      <c r="IB38" s="174">
        <v>112</v>
      </c>
      <c r="IC38" s="174">
        <v>96</v>
      </c>
      <c r="ID38" s="174">
        <v>66</v>
      </c>
      <c r="IE38" s="174">
        <v>46</v>
      </c>
      <c r="IF38" s="174">
        <v>38</v>
      </c>
      <c r="II38" s="174">
        <f>Skills!K184</f>
        <v>-21.009999999999998</v>
      </c>
      <c r="IJ38" s="174" t="str">
        <f>Skills!B184</f>
        <v>Sweeps 3</v>
      </c>
      <c r="IM38" s="174">
        <v>1300000</v>
      </c>
      <c r="IN38" s="174">
        <v>36</v>
      </c>
    </row>
    <row r="39" spans="1:248" ht="13.35" customHeight="1" thickBot="1" x14ac:dyDescent="0.25">
      <c r="A39" s="183">
        <f t="shared" si="1"/>
        <v>38</v>
      </c>
      <c r="B39" s="183">
        <v>0</v>
      </c>
      <c r="C39" s="183">
        <f t="shared" si="2"/>
        <v>38</v>
      </c>
      <c r="D39" s="174">
        <v>105</v>
      </c>
      <c r="E39" s="189" t="s">
        <v>763</v>
      </c>
      <c r="F39" s="190" t="s">
        <v>1093</v>
      </c>
      <c r="G39" s="190" t="s">
        <v>1091</v>
      </c>
      <c r="H39" s="190" t="s">
        <v>1085</v>
      </c>
      <c r="I39" s="190" t="s">
        <v>1094</v>
      </c>
      <c r="J39" s="190" t="s">
        <v>1080</v>
      </c>
      <c r="K39" s="190" t="s">
        <v>1095</v>
      </c>
      <c r="L39" s="190" t="s">
        <v>1095</v>
      </c>
      <c r="M39" s="190" t="s">
        <v>1095</v>
      </c>
      <c r="N39" s="190" t="s">
        <v>1095</v>
      </c>
      <c r="O39" s="190" t="s">
        <v>1095</v>
      </c>
      <c r="P39" s="190" t="s">
        <v>1095</v>
      </c>
      <c r="Q39" s="190" t="s">
        <v>1096</v>
      </c>
      <c r="R39" s="190" t="s">
        <v>1096</v>
      </c>
      <c r="S39" s="190" t="s">
        <v>1096</v>
      </c>
      <c r="T39" s="190" t="s">
        <v>1097</v>
      </c>
      <c r="U39" s="190" t="s">
        <v>1097</v>
      </c>
      <c r="V39" s="190" t="s">
        <v>1097</v>
      </c>
      <c r="W39" s="190" t="s">
        <v>1097</v>
      </c>
      <c r="X39" s="190" t="s">
        <v>1097</v>
      </c>
      <c r="Y39" s="190" t="s">
        <v>1097</v>
      </c>
      <c r="Z39" s="190"/>
      <c r="AA39" s="190" t="s">
        <v>1073</v>
      </c>
      <c r="AB39" s="190" t="s">
        <v>1073</v>
      </c>
      <c r="AC39" s="190" t="s">
        <v>1096</v>
      </c>
      <c r="AD39" s="190" t="s">
        <v>1096</v>
      </c>
      <c r="AE39" s="190"/>
      <c r="AF39" s="190" t="s">
        <v>1096</v>
      </c>
      <c r="AG39" s="190" t="s">
        <v>1095</v>
      </c>
      <c r="AH39" s="190" t="s">
        <v>1097</v>
      </c>
      <c r="AI39" s="190"/>
      <c r="AJ39" s="190" t="s">
        <v>1097</v>
      </c>
      <c r="AK39" s="190" t="s">
        <v>1096</v>
      </c>
      <c r="AL39" s="190" t="s">
        <v>1095</v>
      </c>
      <c r="AM39" s="190" t="s">
        <v>1096</v>
      </c>
      <c r="AN39" s="190"/>
      <c r="AO39" s="190" t="s">
        <v>1096</v>
      </c>
      <c r="AP39" s="190" t="s">
        <v>1096</v>
      </c>
      <c r="AQ39" s="190" t="s">
        <v>1097</v>
      </c>
      <c r="AR39" s="190"/>
      <c r="AS39" s="190" t="s">
        <v>1095</v>
      </c>
      <c r="AT39" s="190" t="s">
        <v>1095</v>
      </c>
      <c r="AU39" s="190" t="s">
        <v>1095</v>
      </c>
      <c r="AV39" s="190" t="s">
        <v>1095</v>
      </c>
      <c r="AW39" s="190" t="s">
        <v>1095</v>
      </c>
      <c r="AX39" s="190" t="s">
        <v>1095</v>
      </c>
      <c r="AY39" s="190" t="s">
        <v>1095</v>
      </c>
      <c r="AZ39" s="190" t="s">
        <v>1095</v>
      </c>
      <c r="BA39" s="190" t="s">
        <v>1095</v>
      </c>
      <c r="BB39" s="190" t="s">
        <v>1095</v>
      </c>
      <c r="BC39" s="190" t="s">
        <v>1095</v>
      </c>
      <c r="BD39" s="190" t="s">
        <v>1095</v>
      </c>
      <c r="BE39" s="190" t="s">
        <v>1095</v>
      </c>
      <c r="BF39" s="190" t="s">
        <v>1095</v>
      </c>
      <c r="BG39" s="190" t="s">
        <v>1095</v>
      </c>
      <c r="BH39" s="190" t="s">
        <v>1095</v>
      </c>
      <c r="BI39" s="190" t="s">
        <v>1095</v>
      </c>
      <c r="BJ39" s="190" t="s">
        <v>1095</v>
      </c>
      <c r="BK39" s="190" t="s">
        <v>1095</v>
      </c>
      <c r="BL39" s="190" t="s">
        <v>1095</v>
      </c>
      <c r="BM39" s="190" t="s">
        <v>1095</v>
      </c>
      <c r="BN39" s="190" t="s">
        <v>1095</v>
      </c>
      <c r="BO39" s="190" t="s">
        <v>1095</v>
      </c>
      <c r="BP39" s="190" t="s">
        <v>1095</v>
      </c>
      <c r="BQ39" s="190" t="s">
        <v>1095</v>
      </c>
      <c r="BR39" s="190" t="s">
        <v>1095</v>
      </c>
      <c r="BS39" s="190" t="s">
        <v>1095</v>
      </c>
      <c r="BT39" s="190" t="s">
        <v>1095</v>
      </c>
      <c r="BU39" s="190" t="s">
        <v>1095</v>
      </c>
      <c r="BV39" s="190" t="s">
        <v>1095</v>
      </c>
      <c r="BW39" s="190" t="s">
        <v>1095</v>
      </c>
      <c r="BX39" s="190" t="s">
        <v>1095</v>
      </c>
      <c r="BY39" s="190" t="s">
        <v>1095</v>
      </c>
      <c r="BZ39" s="190" t="s">
        <v>1095</v>
      </c>
      <c r="CA39" s="190" t="s">
        <v>1095</v>
      </c>
      <c r="CB39" s="190" t="s">
        <v>1095</v>
      </c>
      <c r="CC39" s="190" t="s">
        <v>1095</v>
      </c>
      <c r="CD39" s="190" t="s">
        <v>1095</v>
      </c>
      <c r="CE39" s="190" t="s">
        <v>1095</v>
      </c>
      <c r="CF39" s="190" t="s">
        <v>1095</v>
      </c>
      <c r="CG39" s="190" t="s">
        <v>1095</v>
      </c>
      <c r="CH39" s="190" t="s">
        <v>1095</v>
      </c>
      <c r="CI39" s="190" t="s">
        <v>1095</v>
      </c>
      <c r="CJ39" s="190" t="s">
        <v>1095</v>
      </c>
      <c r="CK39" s="190" t="s">
        <v>1095</v>
      </c>
      <c r="CL39" s="190" t="s">
        <v>1095</v>
      </c>
      <c r="CM39" s="190" t="s">
        <v>1095</v>
      </c>
      <c r="CN39" s="190" t="s">
        <v>1095</v>
      </c>
      <c r="CO39" s="190" t="s">
        <v>1095</v>
      </c>
      <c r="CP39" s="190" t="s">
        <v>1095</v>
      </c>
      <c r="CQ39" s="190" t="s">
        <v>1095</v>
      </c>
      <c r="CR39" s="190"/>
      <c r="CS39" s="190" t="s">
        <v>1082</v>
      </c>
      <c r="CT39" s="190" t="s">
        <v>1091</v>
      </c>
      <c r="CU39" s="190" t="s">
        <v>1098</v>
      </c>
      <c r="CV39" s="190" t="s">
        <v>1085</v>
      </c>
      <c r="CW39" s="190"/>
      <c r="CX39" s="190" t="s">
        <v>1097</v>
      </c>
      <c r="CY39" s="190" t="s">
        <v>1096</v>
      </c>
      <c r="CZ39" s="190" t="s">
        <v>1096</v>
      </c>
      <c r="DA39" s="190" t="s">
        <v>1099</v>
      </c>
      <c r="DB39" s="190" t="s">
        <v>1095</v>
      </c>
      <c r="DC39" s="190" t="s">
        <v>1095</v>
      </c>
      <c r="DD39" s="190" t="s">
        <v>1095</v>
      </c>
      <c r="DE39" s="190"/>
      <c r="DF39" s="174">
        <v>38</v>
      </c>
      <c r="DH39" s="174" t="s">
        <v>1024</v>
      </c>
      <c r="DI39" s="174" t="s">
        <v>953</v>
      </c>
      <c r="DL39" s="174">
        <v>2</v>
      </c>
      <c r="DO39" s="174">
        <v>2</v>
      </c>
      <c r="DY39" s="174">
        <v>12</v>
      </c>
      <c r="DZ39" s="174">
        <v>6</v>
      </c>
      <c r="EA39" s="174">
        <v>1</v>
      </c>
      <c r="EB39" s="174">
        <f>DZ39*10</f>
        <v>60</v>
      </c>
      <c r="ED39" s="174" t="s">
        <v>953</v>
      </c>
      <c r="EE39" s="174">
        <v>6543</v>
      </c>
      <c r="EF39" s="174">
        <v>6543</v>
      </c>
      <c r="EG39" s="174">
        <v>7654</v>
      </c>
      <c r="EH39" s="174">
        <v>6543</v>
      </c>
      <c r="EI39" s="174">
        <v>6543</v>
      </c>
      <c r="EJ39" s="174">
        <v>6543</v>
      </c>
      <c r="EK39" s="174">
        <v>6543</v>
      </c>
      <c r="EL39" s="174">
        <v>6521</v>
      </c>
      <c r="EN39" s="174" t="s">
        <v>729</v>
      </c>
      <c r="EO39" s="174">
        <v>1</v>
      </c>
      <c r="EP39" s="174">
        <v>1</v>
      </c>
      <c r="EQ39" s="174">
        <v>1</v>
      </c>
      <c r="ES39" s="174">
        <v>1</v>
      </c>
      <c r="ET39" s="174">
        <v>1</v>
      </c>
      <c r="EU39" s="174">
        <v>1</v>
      </c>
      <c r="EV39" s="174">
        <v>1</v>
      </c>
      <c r="EW39" s="174">
        <v>1</v>
      </c>
      <c r="EX39" s="174">
        <v>1</v>
      </c>
      <c r="EY39" s="174">
        <v>1</v>
      </c>
      <c r="EZ39" s="174">
        <v>1</v>
      </c>
      <c r="FA39" s="174">
        <v>1</v>
      </c>
      <c r="FG39" s="174">
        <v>1</v>
      </c>
      <c r="FH39" s="174">
        <v>1</v>
      </c>
      <c r="FI39" s="174">
        <v>1</v>
      </c>
      <c r="FK39" s="174">
        <v>1</v>
      </c>
      <c r="FL39" s="174">
        <v>1</v>
      </c>
      <c r="FM39" s="174">
        <v>1</v>
      </c>
      <c r="FN39" s="174">
        <v>1</v>
      </c>
      <c r="FO39" s="174">
        <v>1</v>
      </c>
      <c r="FP39" s="174">
        <v>1</v>
      </c>
      <c r="FQ39" s="174">
        <v>1</v>
      </c>
      <c r="FR39" s="174">
        <v>1</v>
      </c>
      <c r="FV39" s="174">
        <v>1</v>
      </c>
      <c r="FW39" s="174">
        <v>1</v>
      </c>
      <c r="FX39" s="174">
        <v>1</v>
      </c>
      <c r="FY39" s="174">
        <v>1</v>
      </c>
      <c r="FZ39" s="174">
        <v>2</v>
      </c>
      <c r="GA39" s="174">
        <v>1</v>
      </c>
      <c r="GB39" s="174">
        <v>1</v>
      </c>
      <c r="GC39" s="174">
        <v>1</v>
      </c>
      <c r="GD39" s="174">
        <v>1</v>
      </c>
      <c r="GE39" s="174">
        <v>1</v>
      </c>
      <c r="GF39" s="174">
        <v>1</v>
      </c>
      <c r="GG39" s="174">
        <v>1</v>
      </c>
      <c r="GH39" s="174">
        <v>1</v>
      </c>
      <c r="GL39" s="174">
        <v>1</v>
      </c>
      <c r="GN39" s="174">
        <v>1</v>
      </c>
      <c r="GO39" s="174">
        <v>1</v>
      </c>
      <c r="GP39" s="174">
        <v>1</v>
      </c>
      <c r="HA39" s="174">
        <v>38</v>
      </c>
      <c r="HB39" s="197">
        <v>36</v>
      </c>
      <c r="HC39" s="183">
        <v>38</v>
      </c>
      <c r="HD39" s="183">
        <v>63</v>
      </c>
      <c r="HE39" s="194">
        <v>25</v>
      </c>
      <c r="HF39" s="183">
        <v>101</v>
      </c>
      <c r="HG39" s="193" t="e">
        <f t="shared" si="3"/>
        <v>#N/A</v>
      </c>
      <c r="HH39" s="192" t="e">
        <f t="shared" si="4"/>
        <v>#N/A</v>
      </c>
      <c r="HI39" s="198">
        <v>25</v>
      </c>
      <c r="HJ39" s="185">
        <v>106</v>
      </c>
      <c r="HK39" s="174">
        <v>37</v>
      </c>
      <c r="HL39" s="174">
        <v>241</v>
      </c>
      <c r="HM39" s="174">
        <v>208</v>
      </c>
      <c r="HN39" s="174">
        <v>181</v>
      </c>
      <c r="HO39" s="174">
        <v>157</v>
      </c>
      <c r="HP39" s="174">
        <v>147</v>
      </c>
      <c r="HQ39" s="174">
        <v>137</v>
      </c>
      <c r="HR39" s="174">
        <v>127</v>
      </c>
      <c r="HS39" s="174">
        <v>181</v>
      </c>
      <c r="HT39" s="174">
        <v>171</v>
      </c>
      <c r="HU39" s="174">
        <v>137</v>
      </c>
      <c r="HV39" s="174">
        <v>144</v>
      </c>
      <c r="HW39" s="174">
        <v>127</v>
      </c>
      <c r="HX39" s="174">
        <v>117</v>
      </c>
      <c r="HY39" s="174">
        <v>107</v>
      </c>
      <c r="HZ39" s="174">
        <v>97</v>
      </c>
      <c r="IA39" s="174">
        <v>134</v>
      </c>
      <c r="IB39" s="174">
        <v>114</v>
      </c>
      <c r="IC39" s="174">
        <v>97</v>
      </c>
      <c r="ID39" s="174">
        <v>67</v>
      </c>
      <c r="IE39" s="174">
        <v>47</v>
      </c>
      <c r="IF39" s="174">
        <v>39</v>
      </c>
      <c r="IM39" s="174">
        <v>1350000</v>
      </c>
      <c r="IN39" s="174">
        <v>37</v>
      </c>
    </row>
    <row r="40" spans="1:248" ht="13.35" customHeight="1" thickBot="1" x14ac:dyDescent="0.25">
      <c r="A40" s="183">
        <f t="shared" si="1"/>
        <v>39</v>
      </c>
      <c r="B40" s="183">
        <v>0</v>
      </c>
      <c r="C40" s="183">
        <f t="shared" si="2"/>
        <v>39</v>
      </c>
      <c r="D40" s="174">
        <v>25</v>
      </c>
      <c r="E40" s="189" t="s">
        <v>750</v>
      </c>
      <c r="F40" s="190" t="s">
        <v>1096</v>
      </c>
      <c r="G40" s="190" t="s">
        <v>1100</v>
      </c>
      <c r="H40" s="190" t="s">
        <v>1101</v>
      </c>
      <c r="I40" s="190" t="s">
        <v>1095</v>
      </c>
      <c r="J40" s="190" t="s">
        <v>1102</v>
      </c>
      <c r="K40" s="190" t="s">
        <v>1103</v>
      </c>
      <c r="L40" s="190" t="s">
        <v>1103</v>
      </c>
      <c r="M40" s="190" t="s">
        <v>1103</v>
      </c>
      <c r="N40" s="190" t="s">
        <v>1103</v>
      </c>
      <c r="O40" s="190" t="s">
        <v>1103</v>
      </c>
      <c r="P40" s="190" t="s">
        <v>1103</v>
      </c>
      <c r="Q40" s="190" t="s">
        <v>1103</v>
      </c>
      <c r="R40" s="190" t="s">
        <v>1103</v>
      </c>
      <c r="S40" s="190" t="s">
        <v>1103</v>
      </c>
      <c r="T40" s="190" t="s">
        <v>1104</v>
      </c>
      <c r="U40" s="190" t="s">
        <v>1104</v>
      </c>
      <c r="V40" s="190" t="s">
        <v>1104</v>
      </c>
      <c r="W40" s="190" t="s">
        <v>1104</v>
      </c>
      <c r="X40" s="190" t="s">
        <v>1104</v>
      </c>
      <c r="Y40" s="190" t="s">
        <v>1104</v>
      </c>
      <c r="Z40" s="190"/>
      <c r="AA40" s="190" t="s">
        <v>928</v>
      </c>
      <c r="AB40" s="190" t="s">
        <v>928</v>
      </c>
      <c r="AC40" s="190" t="s">
        <v>1103</v>
      </c>
      <c r="AD40" s="190" t="s">
        <v>1103</v>
      </c>
      <c r="AE40" s="190"/>
      <c r="AF40" s="190" t="s">
        <v>1103</v>
      </c>
      <c r="AG40" s="190" t="s">
        <v>1103</v>
      </c>
      <c r="AH40" s="190" t="s">
        <v>1104</v>
      </c>
      <c r="AI40" s="190"/>
      <c r="AJ40" s="190" t="s">
        <v>1104</v>
      </c>
      <c r="AK40" s="190" t="s">
        <v>1103</v>
      </c>
      <c r="AL40" s="190" t="s">
        <v>1103</v>
      </c>
      <c r="AM40" s="190" t="s">
        <v>1103</v>
      </c>
      <c r="AN40" s="190"/>
      <c r="AO40" s="190" t="s">
        <v>1103</v>
      </c>
      <c r="AP40" s="190" t="s">
        <v>1103</v>
      </c>
      <c r="AQ40" s="190" t="s">
        <v>1104</v>
      </c>
      <c r="AR40" s="190"/>
      <c r="AS40" s="190" t="s">
        <v>1103</v>
      </c>
      <c r="AT40" s="190" t="s">
        <v>1103</v>
      </c>
      <c r="AU40" s="190" t="s">
        <v>1103</v>
      </c>
      <c r="AV40" s="190" t="s">
        <v>1103</v>
      </c>
      <c r="AW40" s="190" t="s">
        <v>1103</v>
      </c>
      <c r="AX40" s="190" t="s">
        <v>1103</v>
      </c>
      <c r="AY40" s="190" t="s">
        <v>1103</v>
      </c>
      <c r="AZ40" s="190" t="s">
        <v>1103</v>
      </c>
      <c r="BA40" s="190" t="s">
        <v>1103</v>
      </c>
      <c r="BB40" s="190" t="s">
        <v>1103</v>
      </c>
      <c r="BC40" s="190" t="s">
        <v>1103</v>
      </c>
      <c r="BD40" s="190" t="s">
        <v>1103</v>
      </c>
      <c r="BE40" s="190" t="s">
        <v>1103</v>
      </c>
      <c r="BF40" s="190" t="s">
        <v>1103</v>
      </c>
      <c r="BG40" s="190" t="s">
        <v>1103</v>
      </c>
      <c r="BH40" s="190" t="s">
        <v>1103</v>
      </c>
      <c r="BI40" s="190" t="s">
        <v>1103</v>
      </c>
      <c r="BJ40" s="190" t="s">
        <v>1103</v>
      </c>
      <c r="BK40" s="190" t="s">
        <v>1103</v>
      </c>
      <c r="BL40" s="190" t="s">
        <v>1103</v>
      </c>
      <c r="BM40" s="190" t="s">
        <v>1103</v>
      </c>
      <c r="BN40" s="190" t="s">
        <v>1103</v>
      </c>
      <c r="BO40" s="190" t="s">
        <v>1103</v>
      </c>
      <c r="BP40" s="190" t="s">
        <v>1103</v>
      </c>
      <c r="BQ40" s="190" t="s">
        <v>1103</v>
      </c>
      <c r="BR40" s="190" t="s">
        <v>1103</v>
      </c>
      <c r="BS40" s="190" t="s">
        <v>1103</v>
      </c>
      <c r="BT40" s="190" t="s">
        <v>1103</v>
      </c>
      <c r="BU40" s="190" t="s">
        <v>1103</v>
      </c>
      <c r="BV40" s="190" t="s">
        <v>1103</v>
      </c>
      <c r="BW40" s="190" t="s">
        <v>1103</v>
      </c>
      <c r="BX40" s="190" t="s">
        <v>1103</v>
      </c>
      <c r="BY40" s="190" t="s">
        <v>1103</v>
      </c>
      <c r="BZ40" s="190" t="s">
        <v>1103</v>
      </c>
      <c r="CA40" s="190" t="s">
        <v>1103</v>
      </c>
      <c r="CB40" s="190" t="s">
        <v>1103</v>
      </c>
      <c r="CC40" s="190" t="s">
        <v>1103</v>
      </c>
      <c r="CD40" s="190" t="s">
        <v>1103</v>
      </c>
      <c r="CE40" s="190" t="s">
        <v>1103</v>
      </c>
      <c r="CF40" s="190" t="s">
        <v>1103</v>
      </c>
      <c r="CG40" s="190" t="s">
        <v>1103</v>
      </c>
      <c r="CH40" s="190" t="s">
        <v>1103</v>
      </c>
      <c r="CI40" s="190" t="s">
        <v>1103</v>
      </c>
      <c r="CJ40" s="190" t="s">
        <v>1103</v>
      </c>
      <c r="CK40" s="190" t="s">
        <v>1103</v>
      </c>
      <c r="CL40" s="190" t="s">
        <v>1103</v>
      </c>
      <c r="CM40" s="190" t="s">
        <v>1103</v>
      </c>
      <c r="CN40" s="190" t="s">
        <v>1103</v>
      </c>
      <c r="CO40" s="190" t="s">
        <v>1103</v>
      </c>
      <c r="CP40" s="190" t="s">
        <v>1103</v>
      </c>
      <c r="CQ40" s="190" t="s">
        <v>1103</v>
      </c>
      <c r="CR40" s="190"/>
      <c r="CS40" s="190" t="s">
        <v>1105</v>
      </c>
      <c r="CT40" s="190" t="s">
        <v>1100</v>
      </c>
      <c r="CU40" s="190" t="s">
        <v>1089</v>
      </c>
      <c r="CV40" s="190" t="s">
        <v>1101</v>
      </c>
      <c r="CW40" s="190"/>
      <c r="CX40" s="190" t="s">
        <v>1104</v>
      </c>
      <c r="CY40" s="190" t="s">
        <v>1103</v>
      </c>
      <c r="CZ40" s="190" t="s">
        <v>1103</v>
      </c>
      <c r="DA40" s="190" t="s">
        <v>1070</v>
      </c>
      <c r="DB40" s="190" t="s">
        <v>1103</v>
      </c>
      <c r="DC40" s="190" t="s">
        <v>1103</v>
      </c>
      <c r="DD40" s="190" t="s">
        <v>1103</v>
      </c>
      <c r="DE40" s="190"/>
      <c r="DF40" s="174">
        <v>39</v>
      </c>
      <c r="DH40" s="182" t="s">
        <v>1076</v>
      </c>
      <c r="DI40" s="182" t="s">
        <v>906</v>
      </c>
      <c r="DJ40" s="182">
        <v>2</v>
      </c>
      <c r="DK40" s="182"/>
      <c r="DL40" s="182">
        <v>2</v>
      </c>
      <c r="DM40" s="182"/>
      <c r="DN40" s="182"/>
      <c r="DO40" s="182">
        <v>2</v>
      </c>
      <c r="DP40" s="182"/>
      <c r="DQ40" s="182">
        <v>-2</v>
      </c>
      <c r="DR40" s="182"/>
      <c r="DS40" s="182"/>
      <c r="DT40" s="182"/>
      <c r="DU40" s="182"/>
      <c r="DV40" s="182"/>
      <c r="DW40" s="182"/>
      <c r="DX40" s="182">
        <v>5</v>
      </c>
      <c r="DY40" s="182">
        <v>12</v>
      </c>
      <c r="DZ40" s="182">
        <v>6</v>
      </c>
      <c r="EA40" s="182">
        <v>1</v>
      </c>
      <c r="EB40" s="182">
        <v>45</v>
      </c>
      <c r="ED40" s="174" t="s">
        <v>906</v>
      </c>
      <c r="EE40" s="174">
        <v>6543</v>
      </c>
      <c r="EF40" s="174">
        <v>6543</v>
      </c>
      <c r="EG40" s="174">
        <v>7654</v>
      </c>
      <c r="EH40" s="174">
        <v>6543</v>
      </c>
      <c r="EI40" s="174">
        <v>6543</v>
      </c>
      <c r="EJ40" s="174">
        <v>6543</v>
      </c>
      <c r="EK40" s="174">
        <v>6543</v>
      </c>
      <c r="EL40" s="174">
        <v>6521</v>
      </c>
      <c r="EN40" s="182" t="s">
        <v>732</v>
      </c>
      <c r="EO40" s="174">
        <v>1</v>
      </c>
      <c r="EP40" s="174">
        <v>1</v>
      </c>
      <c r="EQ40" s="174">
        <v>1</v>
      </c>
      <c r="ET40" s="174">
        <v>1</v>
      </c>
      <c r="EU40" s="174">
        <v>1</v>
      </c>
      <c r="EY40" s="174">
        <v>1</v>
      </c>
      <c r="FI40" s="174">
        <v>1</v>
      </c>
      <c r="FK40" s="174">
        <v>1</v>
      </c>
      <c r="FO40" s="174">
        <v>1</v>
      </c>
      <c r="FV40" s="174">
        <v>1</v>
      </c>
      <c r="FW40" s="174">
        <v>1</v>
      </c>
      <c r="FX40" s="174">
        <v>1</v>
      </c>
      <c r="FY40" s="174">
        <v>1</v>
      </c>
      <c r="GC40" s="174">
        <v>1</v>
      </c>
      <c r="GG40" s="174">
        <v>1</v>
      </c>
      <c r="GH40" s="174">
        <v>1</v>
      </c>
      <c r="GO40" s="174">
        <v>1</v>
      </c>
      <c r="HA40" s="174">
        <v>39</v>
      </c>
      <c r="HB40" s="197">
        <v>37</v>
      </c>
      <c r="HC40" s="183">
        <v>39</v>
      </c>
      <c r="HD40" s="183">
        <v>64</v>
      </c>
      <c r="HE40" s="194">
        <v>25</v>
      </c>
      <c r="HF40" s="183">
        <v>102</v>
      </c>
      <c r="HG40" s="193" t="e">
        <f t="shared" si="3"/>
        <v>#N/A</v>
      </c>
      <c r="HH40" s="192" t="e">
        <f t="shared" si="4"/>
        <v>#N/A</v>
      </c>
      <c r="HI40" s="198">
        <v>25</v>
      </c>
      <c r="HJ40" s="185">
        <v>107</v>
      </c>
      <c r="HK40" s="174">
        <v>38</v>
      </c>
      <c r="HL40" s="174">
        <v>244</v>
      </c>
      <c r="HM40" s="174">
        <v>212</v>
      </c>
      <c r="HN40" s="174">
        <v>184</v>
      </c>
      <c r="HO40" s="174">
        <v>158</v>
      </c>
      <c r="HP40" s="174">
        <v>148</v>
      </c>
      <c r="HQ40" s="174">
        <v>138</v>
      </c>
      <c r="HR40" s="174">
        <v>128</v>
      </c>
      <c r="HS40" s="174">
        <v>184</v>
      </c>
      <c r="HT40" s="174">
        <v>174</v>
      </c>
      <c r="HU40" s="174">
        <v>138</v>
      </c>
      <c r="HV40" s="174">
        <v>146</v>
      </c>
      <c r="HW40" s="174">
        <v>128</v>
      </c>
      <c r="HX40" s="174">
        <v>118</v>
      </c>
      <c r="HY40" s="174">
        <v>108</v>
      </c>
      <c r="HZ40" s="174">
        <v>98</v>
      </c>
      <c r="IA40" s="174">
        <v>136</v>
      </c>
      <c r="IB40" s="174">
        <v>116</v>
      </c>
      <c r="IC40" s="174">
        <v>98</v>
      </c>
      <c r="ID40" s="174">
        <v>68</v>
      </c>
      <c r="IE40" s="174">
        <v>48</v>
      </c>
      <c r="IF40" s="174">
        <v>40</v>
      </c>
      <c r="II40" s="174">
        <f>Skills!K176</f>
        <v>-21.009999999999998</v>
      </c>
      <c r="IJ40" s="174" t="str">
        <f>Skills!B176</f>
        <v>Strikes 4</v>
      </c>
      <c r="IM40" s="174">
        <v>1400000</v>
      </c>
      <c r="IN40" s="174">
        <v>38</v>
      </c>
    </row>
    <row r="41" spans="1:248" ht="13.35" customHeight="1" thickBot="1" x14ac:dyDescent="0.25">
      <c r="A41" s="183">
        <f t="shared" si="1"/>
        <v>40</v>
      </c>
      <c r="B41" s="183">
        <v>0</v>
      </c>
      <c r="C41" s="183">
        <f t="shared" si="2"/>
        <v>40</v>
      </c>
      <c r="D41" s="174">
        <v>40</v>
      </c>
      <c r="E41" s="189" t="s">
        <v>752</v>
      </c>
      <c r="F41" s="190" t="s">
        <v>1087</v>
      </c>
      <c r="G41" s="190" t="s">
        <v>1106</v>
      </c>
      <c r="H41" s="190" t="s">
        <v>1096</v>
      </c>
      <c r="I41" s="190" t="s">
        <v>1090</v>
      </c>
      <c r="J41" s="190" t="s">
        <v>1101</v>
      </c>
      <c r="K41" s="190" t="s">
        <v>1103</v>
      </c>
      <c r="L41" s="190" t="s">
        <v>1103</v>
      </c>
      <c r="M41" s="190" t="s">
        <v>1103</v>
      </c>
      <c r="N41" s="190" t="s">
        <v>1103</v>
      </c>
      <c r="O41" s="190" t="s">
        <v>1103</v>
      </c>
      <c r="P41" s="190" t="s">
        <v>1103</v>
      </c>
      <c r="Q41" s="190" t="s">
        <v>1103</v>
      </c>
      <c r="R41" s="190" t="s">
        <v>1103</v>
      </c>
      <c r="S41" s="190" t="s">
        <v>1103</v>
      </c>
      <c r="T41" s="190" t="s">
        <v>1088</v>
      </c>
      <c r="U41" s="190" t="s">
        <v>1088</v>
      </c>
      <c r="V41" s="190" t="s">
        <v>1088</v>
      </c>
      <c r="W41" s="190" t="s">
        <v>1088</v>
      </c>
      <c r="X41" s="190" t="s">
        <v>1088</v>
      </c>
      <c r="Y41" s="190" t="s">
        <v>1088</v>
      </c>
      <c r="Z41" s="190"/>
      <c r="AA41" s="190" t="s">
        <v>928</v>
      </c>
      <c r="AB41" s="190" t="s">
        <v>928</v>
      </c>
      <c r="AC41" s="190" t="s">
        <v>1103</v>
      </c>
      <c r="AD41" s="190" t="s">
        <v>1103</v>
      </c>
      <c r="AE41" s="190"/>
      <c r="AF41" s="190" t="s">
        <v>1103</v>
      </c>
      <c r="AG41" s="190" t="s">
        <v>1103</v>
      </c>
      <c r="AH41" s="190" t="s">
        <v>1088</v>
      </c>
      <c r="AI41" s="190"/>
      <c r="AJ41" s="190" t="s">
        <v>1088</v>
      </c>
      <c r="AK41" s="190" t="s">
        <v>1103</v>
      </c>
      <c r="AL41" s="190" t="s">
        <v>1103</v>
      </c>
      <c r="AM41" s="190" t="s">
        <v>1103</v>
      </c>
      <c r="AN41" s="190"/>
      <c r="AO41" s="190" t="s">
        <v>1103</v>
      </c>
      <c r="AP41" s="190" t="s">
        <v>1103</v>
      </c>
      <c r="AQ41" s="190" t="s">
        <v>1088</v>
      </c>
      <c r="AR41" s="190"/>
      <c r="AS41" s="190" t="s">
        <v>1103</v>
      </c>
      <c r="AT41" s="190" t="s">
        <v>1103</v>
      </c>
      <c r="AU41" s="190" t="s">
        <v>1103</v>
      </c>
      <c r="AV41" s="190" t="s">
        <v>1103</v>
      </c>
      <c r="AW41" s="190" t="s">
        <v>1103</v>
      </c>
      <c r="AX41" s="190" t="s">
        <v>1103</v>
      </c>
      <c r="AY41" s="190" t="s">
        <v>1103</v>
      </c>
      <c r="AZ41" s="190" t="s">
        <v>1103</v>
      </c>
      <c r="BA41" s="190" t="s">
        <v>1103</v>
      </c>
      <c r="BB41" s="190" t="s">
        <v>1103</v>
      </c>
      <c r="BC41" s="190" t="s">
        <v>1103</v>
      </c>
      <c r="BD41" s="190" t="s">
        <v>1103</v>
      </c>
      <c r="BE41" s="190" t="s">
        <v>1103</v>
      </c>
      <c r="BF41" s="190" t="s">
        <v>1103</v>
      </c>
      <c r="BG41" s="190" t="s">
        <v>1103</v>
      </c>
      <c r="BH41" s="190" t="s">
        <v>1103</v>
      </c>
      <c r="BI41" s="190" t="s">
        <v>1103</v>
      </c>
      <c r="BJ41" s="190" t="s">
        <v>1103</v>
      </c>
      <c r="BK41" s="190" t="s">
        <v>1103</v>
      </c>
      <c r="BL41" s="190" t="s">
        <v>1103</v>
      </c>
      <c r="BM41" s="190" t="s">
        <v>1103</v>
      </c>
      <c r="BN41" s="190" t="s">
        <v>1103</v>
      </c>
      <c r="BO41" s="190" t="s">
        <v>1103</v>
      </c>
      <c r="BP41" s="190" t="s">
        <v>1103</v>
      </c>
      <c r="BQ41" s="190" t="s">
        <v>1103</v>
      </c>
      <c r="BR41" s="190" t="s">
        <v>1103</v>
      </c>
      <c r="BS41" s="190" t="s">
        <v>1103</v>
      </c>
      <c r="BT41" s="190" t="s">
        <v>1103</v>
      </c>
      <c r="BU41" s="190" t="s">
        <v>1103</v>
      </c>
      <c r="BV41" s="190" t="s">
        <v>1103</v>
      </c>
      <c r="BW41" s="190" t="s">
        <v>1103</v>
      </c>
      <c r="BX41" s="190" t="s">
        <v>1103</v>
      </c>
      <c r="BY41" s="190" t="s">
        <v>1103</v>
      </c>
      <c r="BZ41" s="190" t="s">
        <v>1103</v>
      </c>
      <c r="CA41" s="190" t="s">
        <v>1103</v>
      </c>
      <c r="CB41" s="190" t="s">
        <v>1103</v>
      </c>
      <c r="CC41" s="190" t="s">
        <v>1103</v>
      </c>
      <c r="CD41" s="190" t="s">
        <v>1103</v>
      </c>
      <c r="CE41" s="190" t="s">
        <v>1103</v>
      </c>
      <c r="CF41" s="190" t="s">
        <v>1103</v>
      </c>
      <c r="CG41" s="190" t="s">
        <v>1103</v>
      </c>
      <c r="CH41" s="190" t="s">
        <v>1103</v>
      </c>
      <c r="CI41" s="190" t="s">
        <v>1103</v>
      </c>
      <c r="CJ41" s="190" t="s">
        <v>1103</v>
      </c>
      <c r="CK41" s="190" t="s">
        <v>1103</v>
      </c>
      <c r="CL41" s="190" t="s">
        <v>1103</v>
      </c>
      <c r="CM41" s="190" t="s">
        <v>1103</v>
      </c>
      <c r="CN41" s="190" t="s">
        <v>1103</v>
      </c>
      <c r="CO41" s="190" t="s">
        <v>1103</v>
      </c>
      <c r="CP41" s="190" t="s">
        <v>1103</v>
      </c>
      <c r="CQ41" s="190" t="s">
        <v>1103</v>
      </c>
      <c r="CR41" s="190"/>
      <c r="CS41" s="190" t="s">
        <v>1097</v>
      </c>
      <c r="CT41" s="190" t="s">
        <v>1106</v>
      </c>
      <c r="CU41" s="190" t="s">
        <v>1095</v>
      </c>
      <c r="CV41" s="190" t="s">
        <v>1096</v>
      </c>
      <c r="CW41" s="190"/>
      <c r="CX41" s="190" t="s">
        <v>1088</v>
      </c>
      <c r="CY41" s="190" t="s">
        <v>1103</v>
      </c>
      <c r="CZ41" s="190" t="s">
        <v>1103</v>
      </c>
      <c r="DA41" s="190" t="s">
        <v>1069</v>
      </c>
      <c r="DB41" s="190" t="s">
        <v>1103</v>
      </c>
      <c r="DC41" s="190" t="s">
        <v>1103</v>
      </c>
      <c r="DD41" s="190" t="s">
        <v>1103</v>
      </c>
      <c r="DE41" s="190"/>
      <c r="DF41" s="174">
        <v>40</v>
      </c>
      <c r="DH41" s="182" t="s">
        <v>1076</v>
      </c>
      <c r="DI41" s="182" t="s">
        <v>963</v>
      </c>
      <c r="DJ41" s="182">
        <v>2</v>
      </c>
      <c r="DK41" s="182"/>
      <c r="DL41" s="182">
        <v>2</v>
      </c>
      <c r="DM41" s="182"/>
      <c r="DN41" s="182"/>
      <c r="DO41" s="182">
        <v>2</v>
      </c>
      <c r="DP41" s="182"/>
      <c r="DQ41" s="182">
        <v>-2</v>
      </c>
      <c r="DR41" s="182"/>
      <c r="DS41" s="182"/>
      <c r="DT41" s="182"/>
      <c r="DU41" s="182"/>
      <c r="DV41" s="182"/>
      <c r="DW41" s="182"/>
      <c r="DX41" s="182">
        <v>5</v>
      </c>
      <c r="DY41" s="182">
        <v>12</v>
      </c>
      <c r="DZ41" s="182">
        <v>6</v>
      </c>
      <c r="EA41" s="182">
        <v>1</v>
      </c>
      <c r="EB41" s="182">
        <v>45</v>
      </c>
      <c r="ED41" s="174" t="s">
        <v>963</v>
      </c>
      <c r="EE41" s="174">
        <v>6543</v>
      </c>
      <c r="EF41" s="174">
        <v>6543</v>
      </c>
      <c r="EG41" s="174">
        <v>7654</v>
      </c>
      <c r="EH41" s="174">
        <v>6543</v>
      </c>
      <c r="EI41" s="174">
        <v>6543</v>
      </c>
      <c r="EJ41" s="174">
        <v>6543</v>
      </c>
      <c r="EK41" s="174">
        <v>6543</v>
      </c>
      <c r="EL41" s="174">
        <v>6521</v>
      </c>
      <c r="EN41" s="174" t="s">
        <v>733</v>
      </c>
      <c r="EO41" s="174">
        <v>1</v>
      </c>
      <c r="EP41" s="174">
        <v>1</v>
      </c>
      <c r="EQ41" s="174">
        <v>1</v>
      </c>
      <c r="ET41" s="174">
        <v>1</v>
      </c>
      <c r="EU41" s="174">
        <v>1</v>
      </c>
      <c r="EY41" s="174">
        <v>1</v>
      </c>
      <c r="FI41" s="174">
        <v>1</v>
      </c>
      <c r="FK41" s="174">
        <v>1</v>
      </c>
      <c r="FO41" s="174">
        <v>1</v>
      </c>
      <c r="FV41" s="174">
        <v>1</v>
      </c>
      <c r="FW41" s="174">
        <v>1</v>
      </c>
      <c r="FX41" s="174">
        <v>1</v>
      </c>
      <c r="FY41" s="174">
        <v>1</v>
      </c>
      <c r="GC41" s="174">
        <v>1</v>
      </c>
      <c r="GG41" s="174">
        <v>1</v>
      </c>
      <c r="GH41" s="174">
        <v>1</v>
      </c>
      <c r="GO41" s="174">
        <v>1</v>
      </c>
      <c r="HA41" s="174">
        <v>40</v>
      </c>
      <c r="HB41" s="197">
        <v>38</v>
      </c>
      <c r="HC41" s="183">
        <v>39</v>
      </c>
      <c r="HD41" s="183">
        <v>64</v>
      </c>
      <c r="HE41" s="194">
        <v>25</v>
      </c>
      <c r="HF41" s="183">
        <v>103</v>
      </c>
      <c r="HG41" s="193" t="e">
        <f t="shared" si="3"/>
        <v>#N/A</v>
      </c>
      <c r="HH41" s="192" t="e">
        <f t="shared" si="4"/>
        <v>#N/A</v>
      </c>
      <c r="HI41" s="198">
        <v>25</v>
      </c>
      <c r="HJ41" s="185">
        <v>108</v>
      </c>
      <c r="HK41" s="174">
        <v>39</v>
      </c>
      <c r="HL41" s="174">
        <v>247</v>
      </c>
      <c r="HM41" s="174">
        <v>216</v>
      </c>
      <c r="HN41" s="174">
        <v>187</v>
      </c>
      <c r="HO41" s="174">
        <v>159</v>
      </c>
      <c r="HP41" s="174">
        <v>149</v>
      </c>
      <c r="HQ41" s="174">
        <v>139</v>
      </c>
      <c r="HR41" s="174">
        <v>129</v>
      </c>
      <c r="HS41" s="174">
        <v>187</v>
      </c>
      <c r="HT41" s="174">
        <v>177</v>
      </c>
      <c r="HU41" s="174">
        <v>139</v>
      </c>
      <c r="HV41" s="174">
        <v>148</v>
      </c>
      <c r="HW41" s="174">
        <v>129</v>
      </c>
      <c r="HX41" s="174">
        <v>119</v>
      </c>
      <c r="HY41" s="174">
        <v>109</v>
      </c>
      <c r="HZ41" s="174">
        <v>99</v>
      </c>
      <c r="IA41" s="174">
        <v>138</v>
      </c>
      <c r="IB41" s="174">
        <v>118</v>
      </c>
      <c r="IC41" s="174">
        <v>99</v>
      </c>
      <c r="ID41" s="174">
        <v>69</v>
      </c>
      <c r="IE41" s="174">
        <v>49</v>
      </c>
      <c r="IF41" s="174">
        <v>41</v>
      </c>
      <c r="II41" s="174">
        <f>Skills!K177</f>
        <v>-21.009999999999998</v>
      </c>
      <c r="IJ41" s="174" t="str">
        <f>Skills!B177</f>
        <v>Strikes 3</v>
      </c>
      <c r="IM41" s="174">
        <v>1450000</v>
      </c>
      <c r="IN41" s="174">
        <v>39</v>
      </c>
    </row>
    <row r="42" spans="1:248" ht="13.35" customHeight="1" thickBot="1" x14ac:dyDescent="0.25">
      <c r="A42" s="183">
        <f t="shared" si="1"/>
        <v>41</v>
      </c>
      <c r="B42" s="183">
        <v>0</v>
      </c>
      <c r="C42" s="183">
        <f t="shared" si="2"/>
        <v>41</v>
      </c>
      <c r="D42" s="174">
        <v>80</v>
      </c>
      <c r="E42" s="189" t="s">
        <v>754</v>
      </c>
      <c r="F42" s="190" t="s">
        <v>1080</v>
      </c>
      <c r="G42" s="190" t="s">
        <v>1086</v>
      </c>
      <c r="H42" s="190" t="s">
        <v>1078</v>
      </c>
      <c r="I42" s="190" t="s">
        <v>1079</v>
      </c>
      <c r="J42" s="190" t="s">
        <v>1090</v>
      </c>
      <c r="K42" s="190" t="s">
        <v>1104</v>
      </c>
      <c r="L42" s="190" t="s">
        <v>1104</v>
      </c>
      <c r="M42" s="190" t="s">
        <v>1104</v>
      </c>
      <c r="N42" s="190" t="s">
        <v>1104</v>
      </c>
      <c r="O42" s="190" t="s">
        <v>1104</v>
      </c>
      <c r="P42" s="190" t="s">
        <v>1104</v>
      </c>
      <c r="Q42" s="190" t="s">
        <v>1088</v>
      </c>
      <c r="R42" s="190" t="s">
        <v>1088</v>
      </c>
      <c r="S42" s="190" t="s">
        <v>1088</v>
      </c>
      <c r="T42" s="190" t="s">
        <v>1096</v>
      </c>
      <c r="U42" s="190" t="s">
        <v>1096</v>
      </c>
      <c r="V42" s="190" t="s">
        <v>1096</v>
      </c>
      <c r="W42" s="190" t="s">
        <v>1096</v>
      </c>
      <c r="X42" s="190" t="s">
        <v>1096</v>
      </c>
      <c r="Y42" s="190" t="s">
        <v>1096</v>
      </c>
      <c r="Z42" s="190"/>
      <c r="AA42" s="190" t="s">
        <v>1107</v>
      </c>
      <c r="AB42" s="190" t="s">
        <v>1107</v>
      </c>
      <c r="AC42" s="190" t="s">
        <v>1088</v>
      </c>
      <c r="AD42" s="190" t="s">
        <v>1088</v>
      </c>
      <c r="AE42" s="190"/>
      <c r="AF42" s="190" t="s">
        <v>1088</v>
      </c>
      <c r="AG42" s="190" t="s">
        <v>1104</v>
      </c>
      <c r="AH42" s="190" t="s">
        <v>1096</v>
      </c>
      <c r="AI42" s="190"/>
      <c r="AJ42" s="190" t="s">
        <v>1096</v>
      </c>
      <c r="AK42" s="190" t="s">
        <v>1088</v>
      </c>
      <c r="AL42" s="190" t="s">
        <v>1104</v>
      </c>
      <c r="AM42" s="190" t="s">
        <v>1088</v>
      </c>
      <c r="AN42" s="190"/>
      <c r="AO42" s="190" t="s">
        <v>1088</v>
      </c>
      <c r="AP42" s="190" t="s">
        <v>1088</v>
      </c>
      <c r="AQ42" s="190" t="s">
        <v>1096</v>
      </c>
      <c r="AR42" s="190"/>
      <c r="AS42" s="190" t="s">
        <v>1104</v>
      </c>
      <c r="AT42" s="190" t="s">
        <v>1104</v>
      </c>
      <c r="AU42" s="190" t="s">
        <v>1104</v>
      </c>
      <c r="AV42" s="190" t="s">
        <v>1104</v>
      </c>
      <c r="AW42" s="190" t="s">
        <v>1104</v>
      </c>
      <c r="AX42" s="190" t="s">
        <v>1104</v>
      </c>
      <c r="AY42" s="190" t="s">
        <v>1104</v>
      </c>
      <c r="AZ42" s="190" t="s">
        <v>1104</v>
      </c>
      <c r="BA42" s="190" t="s">
        <v>1104</v>
      </c>
      <c r="BB42" s="190" t="s">
        <v>1104</v>
      </c>
      <c r="BC42" s="190" t="s">
        <v>1104</v>
      </c>
      <c r="BD42" s="190" t="s">
        <v>1104</v>
      </c>
      <c r="BE42" s="190" t="s">
        <v>1104</v>
      </c>
      <c r="BF42" s="190" t="s">
        <v>1104</v>
      </c>
      <c r="BG42" s="190" t="s">
        <v>1104</v>
      </c>
      <c r="BH42" s="190" t="s">
        <v>1104</v>
      </c>
      <c r="BI42" s="190" t="s">
        <v>1104</v>
      </c>
      <c r="BJ42" s="190" t="s">
        <v>1104</v>
      </c>
      <c r="BK42" s="190" t="s">
        <v>1104</v>
      </c>
      <c r="BL42" s="190" t="s">
        <v>1104</v>
      </c>
      <c r="BM42" s="190" t="s">
        <v>1104</v>
      </c>
      <c r="BN42" s="190" t="s">
        <v>1104</v>
      </c>
      <c r="BO42" s="190" t="s">
        <v>1104</v>
      </c>
      <c r="BP42" s="190" t="s">
        <v>1104</v>
      </c>
      <c r="BQ42" s="190" t="s">
        <v>1104</v>
      </c>
      <c r="BR42" s="190" t="s">
        <v>1104</v>
      </c>
      <c r="BS42" s="190" t="s">
        <v>1104</v>
      </c>
      <c r="BT42" s="190" t="s">
        <v>1104</v>
      </c>
      <c r="BU42" s="190" t="s">
        <v>1104</v>
      </c>
      <c r="BV42" s="190" t="s">
        <v>1104</v>
      </c>
      <c r="BW42" s="190" t="s">
        <v>1104</v>
      </c>
      <c r="BX42" s="190" t="s">
        <v>1104</v>
      </c>
      <c r="BY42" s="190" t="s">
        <v>1104</v>
      </c>
      <c r="BZ42" s="190" t="s">
        <v>1104</v>
      </c>
      <c r="CA42" s="190" t="s">
        <v>1104</v>
      </c>
      <c r="CB42" s="190" t="s">
        <v>1104</v>
      </c>
      <c r="CC42" s="190" t="s">
        <v>1104</v>
      </c>
      <c r="CD42" s="190" t="s">
        <v>1104</v>
      </c>
      <c r="CE42" s="190" t="s">
        <v>1104</v>
      </c>
      <c r="CF42" s="190" t="s">
        <v>1104</v>
      </c>
      <c r="CG42" s="190" t="s">
        <v>1104</v>
      </c>
      <c r="CH42" s="190" t="s">
        <v>1104</v>
      </c>
      <c r="CI42" s="190" t="s">
        <v>1104</v>
      </c>
      <c r="CJ42" s="190" t="s">
        <v>1104</v>
      </c>
      <c r="CK42" s="190" t="s">
        <v>1104</v>
      </c>
      <c r="CL42" s="190" t="s">
        <v>1104</v>
      </c>
      <c r="CM42" s="190" t="s">
        <v>1104</v>
      </c>
      <c r="CN42" s="190" t="s">
        <v>1104</v>
      </c>
      <c r="CO42" s="190" t="s">
        <v>1104</v>
      </c>
      <c r="CP42" s="190" t="s">
        <v>1104</v>
      </c>
      <c r="CQ42" s="190" t="s">
        <v>1104</v>
      </c>
      <c r="CR42" s="190"/>
      <c r="CS42" s="190" t="s">
        <v>1085</v>
      </c>
      <c r="CT42" s="190" t="s">
        <v>1086</v>
      </c>
      <c r="CU42" s="190" t="s">
        <v>1087</v>
      </c>
      <c r="CV42" s="190" t="s">
        <v>1078</v>
      </c>
      <c r="CW42" s="190"/>
      <c r="CX42" s="190" t="s">
        <v>1096</v>
      </c>
      <c r="CY42" s="190" t="s">
        <v>1088</v>
      </c>
      <c r="CZ42" s="190" t="s">
        <v>1088</v>
      </c>
      <c r="DA42" s="190" t="s">
        <v>1108</v>
      </c>
      <c r="DB42" s="190" t="s">
        <v>1104</v>
      </c>
      <c r="DC42" s="190" t="s">
        <v>1104</v>
      </c>
      <c r="DD42" s="190" t="s">
        <v>1104</v>
      </c>
      <c r="DE42" s="190"/>
      <c r="DF42" s="174">
        <v>41</v>
      </c>
      <c r="DH42" s="182" t="s">
        <v>1076</v>
      </c>
      <c r="DI42" s="182" t="s">
        <v>965</v>
      </c>
      <c r="DJ42" s="182">
        <v>2</v>
      </c>
      <c r="DK42" s="182"/>
      <c r="DL42" s="182">
        <v>2</v>
      </c>
      <c r="DM42" s="182"/>
      <c r="DN42" s="182"/>
      <c r="DO42" s="182">
        <v>2</v>
      </c>
      <c r="DP42" s="182"/>
      <c r="DQ42" s="182">
        <v>-2</v>
      </c>
      <c r="DR42" s="182"/>
      <c r="DS42" s="182"/>
      <c r="DT42" s="182"/>
      <c r="DU42" s="182"/>
      <c r="DV42" s="182"/>
      <c r="DW42" s="182"/>
      <c r="DX42" s="182">
        <v>5</v>
      </c>
      <c r="DY42" s="182">
        <v>12</v>
      </c>
      <c r="DZ42" s="182">
        <v>6</v>
      </c>
      <c r="EA42" s="182">
        <v>1</v>
      </c>
      <c r="EB42" s="182">
        <v>45</v>
      </c>
      <c r="ED42" s="174" t="s">
        <v>965</v>
      </c>
      <c r="EE42" s="174">
        <v>6543</v>
      </c>
      <c r="EF42" s="174">
        <v>6543</v>
      </c>
      <c r="EG42" s="174">
        <v>7654</v>
      </c>
      <c r="EH42" s="174">
        <v>6543</v>
      </c>
      <c r="EI42" s="174">
        <v>6543</v>
      </c>
      <c r="EJ42" s="174">
        <v>6543</v>
      </c>
      <c r="EK42" s="174">
        <v>6543</v>
      </c>
      <c r="EL42" s="174">
        <v>6521</v>
      </c>
      <c r="EN42" s="182" t="s">
        <v>735</v>
      </c>
      <c r="GO42" s="174">
        <v>1</v>
      </c>
      <c r="HA42" s="174">
        <v>41</v>
      </c>
      <c r="HB42" s="197">
        <v>39</v>
      </c>
      <c r="HC42" s="183">
        <v>40</v>
      </c>
      <c r="HD42" s="183">
        <v>65</v>
      </c>
      <c r="HE42" s="194">
        <v>25</v>
      </c>
      <c r="HF42" s="183">
        <v>104</v>
      </c>
      <c r="HG42" s="193" t="e">
        <f t="shared" si="3"/>
        <v>#N/A</v>
      </c>
      <c r="HH42" s="192" t="e">
        <f t="shared" si="4"/>
        <v>#N/A</v>
      </c>
      <c r="HI42" s="198">
        <v>25</v>
      </c>
      <c r="HJ42" s="185">
        <v>109</v>
      </c>
      <c r="HK42" s="182">
        <v>40</v>
      </c>
      <c r="HL42" s="182">
        <v>250</v>
      </c>
      <c r="HM42" s="182">
        <v>220</v>
      </c>
      <c r="HN42" s="182">
        <v>190</v>
      </c>
      <c r="HO42" s="182">
        <v>160</v>
      </c>
      <c r="HP42" s="182">
        <v>150</v>
      </c>
      <c r="HQ42" s="182">
        <v>140</v>
      </c>
      <c r="HR42" s="182">
        <v>130</v>
      </c>
      <c r="HS42" s="174">
        <v>190</v>
      </c>
      <c r="HT42" s="174">
        <v>180</v>
      </c>
      <c r="HU42" s="182">
        <v>140</v>
      </c>
      <c r="HV42" s="182">
        <v>150</v>
      </c>
      <c r="HW42" s="182">
        <v>130</v>
      </c>
      <c r="HX42" s="182">
        <v>120</v>
      </c>
      <c r="HY42" s="182">
        <v>110</v>
      </c>
      <c r="HZ42" s="182">
        <v>100</v>
      </c>
      <c r="IA42" s="174">
        <v>140</v>
      </c>
      <c r="IB42" s="182">
        <v>120</v>
      </c>
      <c r="IC42" s="182">
        <v>100</v>
      </c>
      <c r="ID42" s="182">
        <v>70</v>
      </c>
      <c r="IE42" s="182">
        <v>50</v>
      </c>
      <c r="IF42" s="182">
        <v>42</v>
      </c>
      <c r="II42" s="174">
        <f>Skills!K178</f>
        <v>-27.009999999999998</v>
      </c>
      <c r="IJ42" s="174" t="str">
        <f>Skills!B178</f>
        <v>Strikes 2</v>
      </c>
      <c r="IM42" s="174">
        <v>1500000</v>
      </c>
      <c r="IN42" s="174">
        <v>40</v>
      </c>
    </row>
    <row r="43" spans="1:248" ht="13.35" customHeight="1" thickBot="1" x14ac:dyDescent="0.25">
      <c r="A43" s="183">
        <f t="shared" si="1"/>
        <v>42</v>
      </c>
      <c r="B43" s="183">
        <v>0</v>
      </c>
      <c r="C43" s="183">
        <f t="shared" si="2"/>
        <v>42</v>
      </c>
      <c r="E43" s="189" t="s">
        <v>753</v>
      </c>
      <c r="F43" s="190" t="s">
        <v>1075</v>
      </c>
      <c r="G43" s="190" t="s">
        <v>1075</v>
      </c>
      <c r="H43" s="190" t="s">
        <v>1075</v>
      </c>
      <c r="I43" s="190" t="s">
        <v>1075</v>
      </c>
      <c r="J43" s="190" t="s">
        <v>1075</v>
      </c>
      <c r="K43" s="190" t="s">
        <v>929</v>
      </c>
      <c r="L43" s="190" t="s">
        <v>929</v>
      </c>
      <c r="M43" s="190" t="s">
        <v>929</v>
      </c>
      <c r="N43" s="190" t="s">
        <v>929</v>
      </c>
      <c r="O43" s="190" t="s">
        <v>929</v>
      </c>
      <c r="P43" s="190" t="s">
        <v>929</v>
      </c>
      <c r="Q43" s="190" t="s">
        <v>929</v>
      </c>
      <c r="R43" s="190" t="s">
        <v>929</v>
      </c>
      <c r="S43" s="190" t="s">
        <v>929</v>
      </c>
      <c r="T43" s="190" t="s">
        <v>934</v>
      </c>
      <c r="U43" s="190" t="s">
        <v>934</v>
      </c>
      <c r="V43" s="190" t="s">
        <v>934</v>
      </c>
      <c r="W43" s="190" t="s">
        <v>934</v>
      </c>
      <c r="X43" s="190" t="s">
        <v>934</v>
      </c>
      <c r="Y43" s="190" t="s">
        <v>934</v>
      </c>
      <c r="Z43" s="190"/>
      <c r="AA43" s="190" t="s">
        <v>929</v>
      </c>
      <c r="AB43" s="190" t="s">
        <v>929</v>
      </c>
      <c r="AC43" s="190" t="s">
        <v>934</v>
      </c>
      <c r="AD43" s="190" t="s">
        <v>934</v>
      </c>
      <c r="AE43" s="190"/>
      <c r="AF43" s="190" t="s">
        <v>929</v>
      </c>
      <c r="AG43" s="190" t="s">
        <v>929</v>
      </c>
      <c r="AH43" s="190" t="s">
        <v>934</v>
      </c>
      <c r="AI43" s="190"/>
      <c r="AJ43" s="190" t="s">
        <v>934</v>
      </c>
      <c r="AK43" s="190" t="s">
        <v>929</v>
      </c>
      <c r="AL43" s="190" t="s">
        <v>929</v>
      </c>
      <c r="AM43" s="190" t="s">
        <v>929</v>
      </c>
      <c r="AN43" s="190"/>
      <c r="AO43" s="190" t="s">
        <v>929</v>
      </c>
      <c r="AP43" s="190" t="s">
        <v>929</v>
      </c>
      <c r="AQ43" s="190" t="s">
        <v>934</v>
      </c>
      <c r="AR43" s="190"/>
      <c r="AS43" s="190" t="s">
        <v>929</v>
      </c>
      <c r="AT43" s="190" t="s">
        <v>929</v>
      </c>
      <c r="AU43" s="190" t="s">
        <v>929</v>
      </c>
      <c r="AV43" s="190" t="s">
        <v>929</v>
      </c>
      <c r="AW43" s="190" t="s">
        <v>929</v>
      </c>
      <c r="AX43" s="190" t="s">
        <v>929</v>
      </c>
      <c r="AY43" s="190" t="s">
        <v>929</v>
      </c>
      <c r="AZ43" s="190" t="s">
        <v>929</v>
      </c>
      <c r="BA43" s="190" t="s">
        <v>929</v>
      </c>
      <c r="BB43" s="190" t="s">
        <v>929</v>
      </c>
      <c r="BC43" s="190" t="s">
        <v>929</v>
      </c>
      <c r="BD43" s="190" t="s">
        <v>929</v>
      </c>
      <c r="BE43" s="190" t="s">
        <v>929</v>
      </c>
      <c r="BF43" s="190" t="s">
        <v>929</v>
      </c>
      <c r="BG43" s="190" t="s">
        <v>929</v>
      </c>
      <c r="BH43" s="190" t="s">
        <v>929</v>
      </c>
      <c r="BI43" s="190" t="s">
        <v>929</v>
      </c>
      <c r="BJ43" s="190" t="s">
        <v>929</v>
      </c>
      <c r="BK43" s="190" t="s">
        <v>929</v>
      </c>
      <c r="BL43" s="190" t="s">
        <v>929</v>
      </c>
      <c r="BM43" s="190" t="s">
        <v>929</v>
      </c>
      <c r="BN43" s="190" t="s">
        <v>929</v>
      </c>
      <c r="BO43" s="190" t="s">
        <v>929</v>
      </c>
      <c r="BP43" s="190" t="s">
        <v>929</v>
      </c>
      <c r="BQ43" s="190" t="s">
        <v>929</v>
      </c>
      <c r="BR43" s="190" t="s">
        <v>929</v>
      </c>
      <c r="BS43" s="190" t="s">
        <v>929</v>
      </c>
      <c r="BT43" s="190" t="s">
        <v>929</v>
      </c>
      <c r="BU43" s="190" t="s">
        <v>929</v>
      </c>
      <c r="BV43" s="190" t="s">
        <v>929</v>
      </c>
      <c r="BW43" s="190" t="s">
        <v>929</v>
      </c>
      <c r="BX43" s="190" t="s">
        <v>929</v>
      </c>
      <c r="BY43" s="190" t="s">
        <v>929</v>
      </c>
      <c r="BZ43" s="190" t="s">
        <v>929</v>
      </c>
      <c r="CA43" s="190" t="s">
        <v>929</v>
      </c>
      <c r="CB43" s="190" t="s">
        <v>929</v>
      </c>
      <c r="CC43" s="190" t="s">
        <v>929</v>
      </c>
      <c r="CD43" s="190" t="s">
        <v>929</v>
      </c>
      <c r="CE43" s="190" t="s">
        <v>929</v>
      </c>
      <c r="CF43" s="190" t="s">
        <v>929</v>
      </c>
      <c r="CG43" s="190" t="s">
        <v>929</v>
      </c>
      <c r="CH43" s="190" t="s">
        <v>929</v>
      </c>
      <c r="CI43" s="190" t="s">
        <v>929</v>
      </c>
      <c r="CJ43" s="190" t="s">
        <v>929</v>
      </c>
      <c r="CK43" s="190" t="s">
        <v>929</v>
      </c>
      <c r="CL43" s="190" t="s">
        <v>929</v>
      </c>
      <c r="CM43" s="190" t="s">
        <v>929</v>
      </c>
      <c r="CN43" s="190" t="s">
        <v>929</v>
      </c>
      <c r="CO43" s="190" t="s">
        <v>929</v>
      </c>
      <c r="CP43" s="190" t="s">
        <v>929</v>
      </c>
      <c r="CQ43" s="190" t="s">
        <v>929</v>
      </c>
      <c r="CR43" s="190"/>
      <c r="CS43" s="190" t="s">
        <v>1075</v>
      </c>
      <c r="CT43" s="190" t="s">
        <v>1075</v>
      </c>
      <c r="CU43" s="190" t="s">
        <v>1075</v>
      </c>
      <c r="CV43" s="190" t="s">
        <v>1075</v>
      </c>
      <c r="CW43" s="190"/>
      <c r="CX43" s="190" t="s">
        <v>934</v>
      </c>
      <c r="CY43" s="190" t="s">
        <v>929</v>
      </c>
      <c r="CZ43" s="190" t="s">
        <v>929</v>
      </c>
      <c r="DA43" s="190" t="s">
        <v>1075</v>
      </c>
      <c r="DB43" s="190" t="s">
        <v>929</v>
      </c>
      <c r="DC43" s="190" t="s">
        <v>929</v>
      </c>
      <c r="DD43" s="190" t="s">
        <v>929</v>
      </c>
      <c r="DE43" s="190"/>
      <c r="DF43" s="174">
        <v>42</v>
      </c>
      <c r="DH43" s="182" t="s">
        <v>4171</v>
      </c>
      <c r="DI43" s="182" t="s">
        <v>4171</v>
      </c>
      <c r="DJ43" s="182">
        <v>4</v>
      </c>
      <c r="DK43" s="182">
        <v>6</v>
      </c>
      <c r="DL43" s="182">
        <v>-5</v>
      </c>
      <c r="DM43" s="182">
        <v>2</v>
      </c>
      <c r="DN43" s="182">
        <v>2</v>
      </c>
      <c r="DO43" s="182">
        <v>2</v>
      </c>
      <c r="DP43" s="182">
        <v>6</v>
      </c>
      <c r="DQ43" s="182">
        <v>6</v>
      </c>
      <c r="DR43" s="182">
        <v>2</v>
      </c>
      <c r="DS43" s="182">
        <v>2</v>
      </c>
      <c r="DT43" s="182"/>
      <c r="DU43" s="182"/>
      <c r="DV43" s="182"/>
      <c r="DW43" s="182">
        <v>10</v>
      </c>
      <c r="DX43" s="182">
        <v>100</v>
      </c>
      <c r="DY43" s="182">
        <v>2</v>
      </c>
      <c r="DZ43" s="182">
        <v>1</v>
      </c>
      <c r="EA43" s="182">
        <v>3</v>
      </c>
      <c r="EB43" s="182">
        <v>10</v>
      </c>
      <c r="ED43" s="174" t="s">
        <v>4171</v>
      </c>
      <c r="EE43" s="174">
        <v>7654</v>
      </c>
      <c r="EF43" s="174">
        <v>6543</v>
      </c>
      <c r="EG43" s="174">
        <v>6543</v>
      </c>
      <c r="EH43" s="174">
        <v>6543</v>
      </c>
      <c r="EI43" s="174">
        <v>6543</v>
      </c>
      <c r="EJ43" s="174">
        <v>6543</v>
      </c>
      <c r="EK43" s="174">
        <v>6543</v>
      </c>
      <c r="EL43" s="174">
        <v>7321</v>
      </c>
      <c r="EN43" s="174" t="s">
        <v>737</v>
      </c>
      <c r="GO43" s="174">
        <v>1</v>
      </c>
      <c r="HA43" s="174">
        <v>42</v>
      </c>
      <c r="HB43" s="197">
        <v>40</v>
      </c>
      <c r="HC43" s="183">
        <v>40</v>
      </c>
      <c r="HD43" s="183">
        <v>65</v>
      </c>
      <c r="HE43" s="194">
        <v>25</v>
      </c>
      <c r="HF43" s="183">
        <v>105</v>
      </c>
      <c r="HG43" s="193" t="e">
        <f t="shared" si="3"/>
        <v>#N/A</v>
      </c>
      <c r="HH43" s="192" t="e">
        <f t="shared" si="4"/>
        <v>#N/A</v>
      </c>
      <c r="HI43" s="198">
        <v>25</v>
      </c>
      <c r="HJ43" s="185">
        <v>110</v>
      </c>
      <c r="HK43" s="174">
        <v>41</v>
      </c>
      <c r="HL43" s="174">
        <v>253</v>
      </c>
      <c r="HM43" s="174">
        <v>224</v>
      </c>
      <c r="HN43" s="174">
        <v>193</v>
      </c>
      <c r="HO43" s="174">
        <v>161</v>
      </c>
      <c r="HP43" s="174">
        <v>151</v>
      </c>
      <c r="HQ43" s="174">
        <v>141</v>
      </c>
      <c r="HR43" s="174">
        <v>131</v>
      </c>
      <c r="HS43" s="174">
        <v>193</v>
      </c>
      <c r="HT43" s="174">
        <v>183</v>
      </c>
      <c r="HU43" s="174">
        <v>141</v>
      </c>
      <c r="HV43" s="174">
        <v>152</v>
      </c>
      <c r="HW43" s="174">
        <v>131</v>
      </c>
      <c r="HX43" s="174">
        <v>121</v>
      </c>
      <c r="HY43" s="174">
        <v>111</v>
      </c>
      <c r="HZ43" s="174">
        <v>101</v>
      </c>
      <c r="IA43" s="174">
        <v>142</v>
      </c>
      <c r="IB43" s="174">
        <v>122</v>
      </c>
      <c r="IC43" s="174">
        <v>101</v>
      </c>
      <c r="ID43" s="174">
        <v>71</v>
      </c>
      <c r="IE43" s="174">
        <v>51</v>
      </c>
      <c r="IF43" s="174">
        <v>43</v>
      </c>
      <c r="II43" s="174">
        <f>Skills!K179</f>
        <v>-27.009999999999998</v>
      </c>
      <c r="IJ43" s="174" t="str">
        <f>Skills!B179</f>
        <v>Strikes 1</v>
      </c>
      <c r="IM43" s="174">
        <v>1550000</v>
      </c>
      <c r="IN43" s="174">
        <v>41</v>
      </c>
    </row>
    <row r="44" spans="1:248" ht="13.35" customHeight="1" thickBot="1" x14ac:dyDescent="0.25">
      <c r="A44" s="183">
        <f t="shared" si="1"/>
        <v>43</v>
      </c>
      <c r="B44" s="183">
        <v>0</v>
      </c>
      <c r="C44" s="183">
        <f t="shared" si="2"/>
        <v>43</v>
      </c>
      <c r="E44" s="189" t="s">
        <v>660</v>
      </c>
      <c r="F44" s="190" t="s">
        <v>1109</v>
      </c>
      <c r="G44" s="190" t="s">
        <v>995</v>
      </c>
      <c r="H44" s="190" t="s">
        <v>1110</v>
      </c>
      <c r="I44" s="190" t="s">
        <v>1039</v>
      </c>
      <c r="J44" s="190" t="s">
        <v>1039</v>
      </c>
      <c r="K44" s="190" t="s">
        <v>1030</v>
      </c>
      <c r="L44" s="190" t="s">
        <v>987</v>
      </c>
      <c r="M44" s="190" t="s">
        <v>1030</v>
      </c>
      <c r="N44" s="190" t="s">
        <v>930</v>
      </c>
      <c r="O44" s="190" t="s">
        <v>1030</v>
      </c>
      <c r="P44" s="190" t="s">
        <v>1030</v>
      </c>
      <c r="Q44" s="190" t="s">
        <v>1030</v>
      </c>
      <c r="R44" s="190" t="s">
        <v>1030</v>
      </c>
      <c r="S44" s="190" t="s">
        <v>1030</v>
      </c>
      <c r="T44" s="190" t="s">
        <v>1002</v>
      </c>
      <c r="U44" s="190" t="s">
        <v>1030</v>
      </c>
      <c r="V44" s="190" t="s">
        <v>988</v>
      </c>
      <c r="W44" s="190" t="s">
        <v>1039</v>
      </c>
      <c r="X44" s="190" t="s">
        <v>1031</v>
      </c>
      <c r="Y44" s="190" t="s">
        <v>1111</v>
      </c>
      <c r="Z44" s="190"/>
      <c r="AA44" s="190" t="s">
        <v>1033</v>
      </c>
      <c r="AB44" s="190" t="s">
        <v>1033</v>
      </c>
      <c r="AC44" s="190" t="s">
        <v>930</v>
      </c>
      <c r="AD44" s="190" t="s">
        <v>1032</v>
      </c>
      <c r="AE44" s="190"/>
      <c r="AF44" s="190" t="s">
        <v>1031</v>
      </c>
      <c r="AG44" s="190" t="s">
        <v>1031</v>
      </c>
      <c r="AH44" s="190" t="s">
        <v>988</v>
      </c>
      <c r="AI44" s="190"/>
      <c r="AJ44" s="190" t="s">
        <v>988</v>
      </c>
      <c r="AK44" s="190" t="s">
        <v>1033</v>
      </c>
      <c r="AL44" s="190" t="s">
        <v>1030</v>
      </c>
      <c r="AM44" s="190" t="s">
        <v>1030</v>
      </c>
      <c r="AN44" s="190"/>
      <c r="AO44" s="190" t="s">
        <v>1030</v>
      </c>
      <c r="AP44" s="190" t="s">
        <v>1030</v>
      </c>
      <c r="AQ44" s="190" t="s">
        <v>1039</v>
      </c>
      <c r="AR44" s="190"/>
      <c r="AS44" s="190" t="s">
        <v>1030</v>
      </c>
      <c r="AT44" s="190" t="s">
        <v>1030</v>
      </c>
      <c r="AU44" s="190" t="s">
        <v>1030</v>
      </c>
      <c r="AV44" s="190" t="s">
        <v>1030</v>
      </c>
      <c r="AW44" s="190" t="s">
        <v>1030</v>
      </c>
      <c r="AX44" s="190" t="s">
        <v>1030</v>
      </c>
      <c r="AY44" s="190" t="s">
        <v>1030</v>
      </c>
      <c r="AZ44" s="190" t="s">
        <v>1030</v>
      </c>
      <c r="BA44" s="190" t="s">
        <v>1030</v>
      </c>
      <c r="BB44" s="190" t="s">
        <v>1030</v>
      </c>
      <c r="BC44" s="190" t="s">
        <v>1030</v>
      </c>
      <c r="BD44" s="190" t="s">
        <v>1030</v>
      </c>
      <c r="BE44" s="190" t="s">
        <v>1030</v>
      </c>
      <c r="BF44" s="190" t="s">
        <v>1030</v>
      </c>
      <c r="BG44" s="190" t="s">
        <v>1030</v>
      </c>
      <c r="BH44" s="190" t="s">
        <v>1030</v>
      </c>
      <c r="BI44" s="190" t="s">
        <v>1030</v>
      </c>
      <c r="BJ44" s="190" t="s">
        <v>1030</v>
      </c>
      <c r="BK44" s="190" t="s">
        <v>1030</v>
      </c>
      <c r="BL44" s="190" t="s">
        <v>1030</v>
      </c>
      <c r="BM44" s="190" t="s">
        <v>1030</v>
      </c>
      <c r="BN44" s="190" t="s">
        <v>1030</v>
      </c>
      <c r="BO44" s="190" t="s">
        <v>1030</v>
      </c>
      <c r="BP44" s="190" t="s">
        <v>1030</v>
      </c>
      <c r="BQ44" s="190" t="s">
        <v>1030</v>
      </c>
      <c r="BR44" s="190" t="s">
        <v>1030</v>
      </c>
      <c r="BS44" s="190" t="s">
        <v>1030</v>
      </c>
      <c r="BT44" s="190" t="s">
        <v>1030</v>
      </c>
      <c r="BU44" s="190" t="s">
        <v>1030</v>
      </c>
      <c r="BV44" s="190" t="s">
        <v>1030</v>
      </c>
      <c r="BW44" s="190" t="s">
        <v>1030</v>
      </c>
      <c r="BX44" s="190" t="s">
        <v>1030</v>
      </c>
      <c r="BY44" s="190" t="s">
        <v>1030</v>
      </c>
      <c r="BZ44" s="190" t="s">
        <v>1030</v>
      </c>
      <c r="CA44" s="190" t="s">
        <v>1030</v>
      </c>
      <c r="CB44" s="190" t="s">
        <v>1030</v>
      </c>
      <c r="CC44" s="190" t="s">
        <v>1030</v>
      </c>
      <c r="CD44" s="190" t="s">
        <v>1030</v>
      </c>
      <c r="CE44" s="190" t="s">
        <v>1030</v>
      </c>
      <c r="CF44" s="190" t="s">
        <v>1030</v>
      </c>
      <c r="CG44" s="190" t="s">
        <v>1030</v>
      </c>
      <c r="CH44" s="190" t="s">
        <v>1030</v>
      </c>
      <c r="CI44" s="190" t="s">
        <v>1030</v>
      </c>
      <c r="CJ44" s="190" t="s">
        <v>1030</v>
      </c>
      <c r="CK44" s="190" t="s">
        <v>1030</v>
      </c>
      <c r="CL44" s="190" t="s">
        <v>1030</v>
      </c>
      <c r="CM44" s="190" t="s">
        <v>1030</v>
      </c>
      <c r="CN44" s="190" t="s">
        <v>1030</v>
      </c>
      <c r="CO44" s="190" t="s">
        <v>1030</v>
      </c>
      <c r="CP44" s="190" t="s">
        <v>1030</v>
      </c>
      <c r="CQ44" s="190" t="s">
        <v>1030</v>
      </c>
      <c r="CR44" s="190"/>
      <c r="CS44" s="190" t="s">
        <v>1007</v>
      </c>
      <c r="CT44" s="190" t="s">
        <v>1007</v>
      </c>
      <c r="CU44" s="190" t="s">
        <v>1039</v>
      </c>
      <c r="CV44" s="190" t="s">
        <v>1110</v>
      </c>
      <c r="CW44" s="190"/>
      <c r="CX44" s="190" t="s">
        <v>1030</v>
      </c>
      <c r="CY44" s="190" t="s">
        <v>1030</v>
      </c>
      <c r="CZ44" s="190" t="s">
        <v>930</v>
      </c>
      <c r="DA44" s="190" t="s">
        <v>1007</v>
      </c>
      <c r="DB44" s="190" t="s">
        <v>1030</v>
      </c>
      <c r="DC44" s="190" t="s">
        <v>1030</v>
      </c>
      <c r="DD44" s="190" t="s">
        <v>1030</v>
      </c>
      <c r="DE44" s="190"/>
      <c r="DF44" s="174">
        <v>43</v>
      </c>
      <c r="DH44" s="174" t="s">
        <v>900</v>
      </c>
      <c r="DI44" s="174" t="s">
        <v>951</v>
      </c>
      <c r="DJ44" s="174">
        <v>2</v>
      </c>
      <c r="DL44" s="174">
        <v>2</v>
      </c>
      <c r="DO44" s="174">
        <v>2</v>
      </c>
      <c r="DQ44" s="174">
        <v>2</v>
      </c>
      <c r="DY44" s="174">
        <v>11</v>
      </c>
      <c r="DZ44" s="174">
        <v>5</v>
      </c>
      <c r="EA44" s="174">
        <v>0.9</v>
      </c>
      <c r="EB44" s="174">
        <f>DZ44*10</f>
        <v>50</v>
      </c>
      <c r="ED44" s="174" t="s">
        <v>951</v>
      </c>
      <c r="EE44" s="174">
        <v>6543</v>
      </c>
      <c r="EF44" s="174">
        <v>6543</v>
      </c>
      <c r="EG44" s="174">
        <v>7654</v>
      </c>
      <c r="EH44" s="174">
        <v>6543</v>
      </c>
      <c r="EI44" s="174">
        <v>6543</v>
      </c>
      <c r="EJ44" s="174">
        <v>6543</v>
      </c>
      <c r="EK44" s="174">
        <v>6543</v>
      </c>
      <c r="EL44" s="174">
        <v>7521</v>
      </c>
      <c r="EN44" s="182" t="s">
        <v>738</v>
      </c>
      <c r="GO44" s="174">
        <v>1</v>
      </c>
      <c r="HA44" s="174">
        <v>43</v>
      </c>
      <c r="HB44" s="197">
        <v>41</v>
      </c>
      <c r="HC44" s="183">
        <v>41</v>
      </c>
      <c r="HD44" s="183">
        <v>66</v>
      </c>
      <c r="HE44" s="194">
        <v>25</v>
      </c>
      <c r="HF44" s="183">
        <v>106</v>
      </c>
      <c r="HG44" s="193" t="e">
        <f t="shared" si="3"/>
        <v>#N/A</v>
      </c>
      <c r="HH44" s="192" t="e">
        <f t="shared" si="4"/>
        <v>#N/A</v>
      </c>
      <c r="HI44" s="198">
        <v>25</v>
      </c>
      <c r="HJ44" s="185">
        <v>110.5</v>
      </c>
      <c r="HK44" s="174">
        <v>42</v>
      </c>
      <c r="HL44" s="174">
        <v>256</v>
      </c>
      <c r="HM44" s="174">
        <v>228</v>
      </c>
      <c r="HN44" s="174">
        <v>196</v>
      </c>
      <c r="HO44" s="174">
        <v>162</v>
      </c>
      <c r="HP44" s="174">
        <v>152</v>
      </c>
      <c r="HQ44" s="174">
        <v>142</v>
      </c>
      <c r="HR44" s="174">
        <v>132</v>
      </c>
      <c r="HS44" s="174">
        <v>196</v>
      </c>
      <c r="HT44" s="174">
        <v>186</v>
      </c>
      <c r="HU44" s="174">
        <v>142</v>
      </c>
      <c r="HV44" s="174">
        <v>154</v>
      </c>
      <c r="HW44" s="174">
        <v>132</v>
      </c>
      <c r="HX44" s="174">
        <v>122</v>
      </c>
      <c r="HY44" s="174">
        <v>112</v>
      </c>
      <c r="HZ44" s="174">
        <v>102</v>
      </c>
      <c r="IA44" s="174">
        <v>144</v>
      </c>
      <c r="IB44" s="174">
        <v>124</v>
      </c>
      <c r="IC44" s="174">
        <v>102</v>
      </c>
      <c r="ID44" s="174">
        <v>72</v>
      </c>
      <c r="IE44" s="174">
        <v>52</v>
      </c>
      <c r="IF44" s="174">
        <v>44</v>
      </c>
      <c r="IM44" s="174">
        <v>1600000</v>
      </c>
      <c r="IN44" s="174">
        <v>42</v>
      </c>
    </row>
    <row r="45" spans="1:248" ht="13.35" customHeight="1" thickBot="1" x14ac:dyDescent="0.25">
      <c r="A45" s="183">
        <f t="shared" si="1"/>
        <v>44</v>
      </c>
      <c r="B45" s="183">
        <v>0</v>
      </c>
      <c r="C45" s="183">
        <f t="shared" si="2"/>
        <v>44</v>
      </c>
      <c r="E45" s="189" t="s">
        <v>663</v>
      </c>
      <c r="F45" s="190" t="s">
        <v>1051</v>
      </c>
      <c r="G45" s="190" t="s">
        <v>999</v>
      </c>
      <c r="H45" s="190" t="s">
        <v>991</v>
      </c>
      <c r="I45" s="190" t="s">
        <v>1007</v>
      </c>
      <c r="J45" s="190" t="s">
        <v>1001</v>
      </c>
      <c r="K45" s="190" t="s">
        <v>1003</v>
      </c>
      <c r="L45" s="190" t="s">
        <v>988</v>
      </c>
      <c r="M45" s="190" t="s">
        <v>1003</v>
      </c>
      <c r="N45" s="190" t="s">
        <v>988</v>
      </c>
      <c r="O45" s="190" t="s">
        <v>1003</v>
      </c>
      <c r="P45" s="190" t="s">
        <v>988</v>
      </c>
      <c r="Q45" s="190" t="s">
        <v>988</v>
      </c>
      <c r="R45" s="190" t="s">
        <v>1003</v>
      </c>
      <c r="S45" s="190" t="s">
        <v>1003</v>
      </c>
      <c r="T45" s="190" t="s">
        <v>1005</v>
      </c>
      <c r="U45" s="190" t="s">
        <v>1003</v>
      </c>
      <c r="V45" s="190" t="s">
        <v>1005</v>
      </c>
      <c r="W45" s="190" t="s">
        <v>995</v>
      </c>
      <c r="X45" s="190" t="s">
        <v>1005</v>
      </c>
      <c r="Y45" s="190" t="s">
        <v>1010</v>
      </c>
      <c r="Z45" s="190"/>
      <c r="AA45" s="190" t="s">
        <v>1003</v>
      </c>
      <c r="AB45" s="190" t="s">
        <v>1003</v>
      </c>
      <c r="AC45" s="190" t="s">
        <v>1002</v>
      </c>
      <c r="AD45" s="190" t="s">
        <v>1004</v>
      </c>
      <c r="AE45" s="190"/>
      <c r="AF45" s="190" t="s">
        <v>1002</v>
      </c>
      <c r="AG45" s="190" t="s">
        <v>1002</v>
      </c>
      <c r="AH45" s="190" t="s">
        <v>1005</v>
      </c>
      <c r="AI45" s="190"/>
      <c r="AJ45" s="190" t="s">
        <v>1039</v>
      </c>
      <c r="AK45" s="190" t="s">
        <v>988</v>
      </c>
      <c r="AL45" s="190" t="s">
        <v>932</v>
      </c>
      <c r="AM45" s="190" t="s">
        <v>1003</v>
      </c>
      <c r="AN45" s="190"/>
      <c r="AO45" s="190" t="s">
        <v>1003</v>
      </c>
      <c r="AP45" s="190" t="s">
        <v>1003</v>
      </c>
      <c r="AQ45" s="190" t="s">
        <v>1064</v>
      </c>
      <c r="AR45" s="190"/>
      <c r="AS45" s="190" t="s">
        <v>1003</v>
      </c>
      <c r="AT45" s="190" t="s">
        <v>1003</v>
      </c>
      <c r="AU45" s="190" t="s">
        <v>1003</v>
      </c>
      <c r="AV45" s="190" t="s">
        <v>1003</v>
      </c>
      <c r="AW45" s="190" t="s">
        <v>1003</v>
      </c>
      <c r="AX45" s="190" t="s">
        <v>1003</v>
      </c>
      <c r="AY45" s="190" t="s">
        <v>1003</v>
      </c>
      <c r="AZ45" s="190" t="s">
        <v>1003</v>
      </c>
      <c r="BA45" s="190" t="s">
        <v>1003</v>
      </c>
      <c r="BB45" s="190" t="s">
        <v>1003</v>
      </c>
      <c r="BC45" s="190" t="s">
        <v>1003</v>
      </c>
      <c r="BD45" s="190" t="s">
        <v>1003</v>
      </c>
      <c r="BE45" s="190" t="s">
        <v>1003</v>
      </c>
      <c r="BF45" s="190" t="s">
        <v>1003</v>
      </c>
      <c r="BG45" s="190" t="s">
        <v>1003</v>
      </c>
      <c r="BH45" s="190" t="s">
        <v>1003</v>
      </c>
      <c r="BI45" s="190" t="s">
        <v>1003</v>
      </c>
      <c r="BJ45" s="190" t="s">
        <v>1003</v>
      </c>
      <c r="BK45" s="190" t="s">
        <v>1003</v>
      </c>
      <c r="BL45" s="190" t="s">
        <v>1003</v>
      </c>
      <c r="BM45" s="190" t="s">
        <v>1003</v>
      </c>
      <c r="BN45" s="190" t="s">
        <v>1003</v>
      </c>
      <c r="BO45" s="190" t="s">
        <v>1003</v>
      </c>
      <c r="BP45" s="190" t="s">
        <v>1003</v>
      </c>
      <c r="BQ45" s="190" t="s">
        <v>1003</v>
      </c>
      <c r="BR45" s="190" t="s">
        <v>1003</v>
      </c>
      <c r="BS45" s="190" t="s">
        <v>1003</v>
      </c>
      <c r="BT45" s="190" t="s">
        <v>1003</v>
      </c>
      <c r="BU45" s="190" t="s">
        <v>1003</v>
      </c>
      <c r="BV45" s="190" t="s">
        <v>1003</v>
      </c>
      <c r="BW45" s="190" t="s">
        <v>1003</v>
      </c>
      <c r="BX45" s="190" t="s">
        <v>1003</v>
      </c>
      <c r="BY45" s="190" t="s">
        <v>1003</v>
      </c>
      <c r="BZ45" s="190" t="s">
        <v>1003</v>
      </c>
      <c r="CA45" s="190" t="s">
        <v>1003</v>
      </c>
      <c r="CB45" s="190" t="s">
        <v>1003</v>
      </c>
      <c r="CC45" s="190" t="s">
        <v>1003</v>
      </c>
      <c r="CD45" s="190" t="s">
        <v>1003</v>
      </c>
      <c r="CE45" s="190" t="s">
        <v>1003</v>
      </c>
      <c r="CF45" s="190" t="s">
        <v>1003</v>
      </c>
      <c r="CG45" s="190" t="s">
        <v>1003</v>
      </c>
      <c r="CH45" s="190" t="s">
        <v>1003</v>
      </c>
      <c r="CI45" s="190" t="s">
        <v>1003</v>
      </c>
      <c r="CJ45" s="190" t="s">
        <v>1003</v>
      </c>
      <c r="CK45" s="190" t="s">
        <v>1003</v>
      </c>
      <c r="CL45" s="190" t="s">
        <v>1003</v>
      </c>
      <c r="CM45" s="190" t="s">
        <v>1003</v>
      </c>
      <c r="CN45" s="190" t="s">
        <v>1003</v>
      </c>
      <c r="CO45" s="190" t="s">
        <v>1003</v>
      </c>
      <c r="CP45" s="190" t="s">
        <v>1003</v>
      </c>
      <c r="CQ45" s="190" t="s">
        <v>1003</v>
      </c>
      <c r="CR45" s="190"/>
      <c r="CS45" s="190" t="s">
        <v>1007</v>
      </c>
      <c r="CT45" s="190" t="s">
        <v>1007</v>
      </c>
      <c r="CU45" s="190" t="s">
        <v>1010</v>
      </c>
      <c r="CV45" s="190" t="s">
        <v>1051</v>
      </c>
      <c r="CW45" s="190"/>
      <c r="CX45" s="190" t="s">
        <v>1003</v>
      </c>
      <c r="CY45" s="190" t="s">
        <v>1003</v>
      </c>
      <c r="CZ45" s="190" t="s">
        <v>988</v>
      </c>
      <c r="DA45" s="190" t="s">
        <v>1007</v>
      </c>
      <c r="DB45" s="190" t="s">
        <v>1003</v>
      </c>
      <c r="DC45" s="190" t="s">
        <v>1003</v>
      </c>
      <c r="DD45" s="190" t="s">
        <v>1003</v>
      </c>
      <c r="DE45" s="190"/>
      <c r="DF45" s="174">
        <v>44</v>
      </c>
      <c r="DH45" s="174" t="s">
        <v>907</v>
      </c>
      <c r="DI45" s="174" t="s">
        <v>974</v>
      </c>
      <c r="DL45" s="174">
        <v>2</v>
      </c>
      <c r="DO45" s="174">
        <v>2</v>
      </c>
      <c r="DQ45" s="174">
        <v>-2</v>
      </c>
      <c r="DR45" s="174">
        <v>2</v>
      </c>
      <c r="DY45" s="174">
        <v>12</v>
      </c>
      <c r="DZ45" s="174">
        <v>6</v>
      </c>
      <c r="EA45" s="174">
        <v>1</v>
      </c>
      <c r="EB45" s="174">
        <v>50</v>
      </c>
      <c r="ED45" s="174" t="s">
        <v>974</v>
      </c>
      <c r="EE45" s="174">
        <v>6543</v>
      </c>
      <c r="EF45" s="174">
        <v>6543</v>
      </c>
      <c r="EG45" s="174">
        <v>7654</v>
      </c>
      <c r="EH45" s="174">
        <v>6543</v>
      </c>
      <c r="EI45" s="174">
        <v>6543</v>
      </c>
      <c r="EJ45" s="174">
        <v>6543</v>
      </c>
      <c r="EK45" s="174">
        <v>6543</v>
      </c>
      <c r="EL45" s="174">
        <v>6421</v>
      </c>
      <c r="EN45" s="174" t="s">
        <v>740</v>
      </c>
      <c r="GO45" s="174">
        <v>1</v>
      </c>
      <c r="HA45" s="174">
        <v>44</v>
      </c>
      <c r="HB45" s="197">
        <v>42</v>
      </c>
      <c r="HC45" s="183">
        <v>41</v>
      </c>
      <c r="HD45" s="183">
        <v>66</v>
      </c>
      <c r="HE45" s="194">
        <v>25</v>
      </c>
      <c r="HF45" s="183">
        <v>107</v>
      </c>
      <c r="HG45" s="193" t="e">
        <f t="shared" si="3"/>
        <v>#N/A</v>
      </c>
      <c r="HH45" s="192" t="e">
        <f t="shared" si="4"/>
        <v>#N/A</v>
      </c>
      <c r="HI45" s="198">
        <v>25</v>
      </c>
      <c r="HJ45" s="185">
        <v>111</v>
      </c>
      <c r="HK45" s="174">
        <v>43</v>
      </c>
      <c r="HL45" s="174">
        <v>259</v>
      </c>
      <c r="HM45" s="174">
        <v>232</v>
      </c>
      <c r="HN45" s="174">
        <v>199</v>
      </c>
      <c r="HO45" s="174">
        <v>163</v>
      </c>
      <c r="HP45" s="174">
        <v>153</v>
      </c>
      <c r="HQ45" s="174">
        <v>143</v>
      </c>
      <c r="HR45" s="174">
        <v>133</v>
      </c>
      <c r="HS45" s="174">
        <v>199</v>
      </c>
      <c r="HT45" s="174">
        <v>189</v>
      </c>
      <c r="HU45" s="174">
        <v>143</v>
      </c>
      <c r="HV45" s="174">
        <v>156</v>
      </c>
      <c r="HW45" s="174">
        <v>133</v>
      </c>
      <c r="HX45" s="174">
        <v>123</v>
      </c>
      <c r="HY45" s="174">
        <v>113</v>
      </c>
      <c r="HZ45" s="174">
        <v>103</v>
      </c>
      <c r="IA45" s="174">
        <v>146</v>
      </c>
      <c r="IB45" s="174">
        <v>126</v>
      </c>
      <c r="IC45" s="174">
        <v>103</v>
      </c>
      <c r="ID45" s="174">
        <v>73</v>
      </c>
      <c r="IE45" s="174">
        <v>53</v>
      </c>
      <c r="IF45" s="174">
        <v>45</v>
      </c>
      <c r="IM45" s="174">
        <v>1650000</v>
      </c>
      <c r="IN45" s="174">
        <v>43</v>
      </c>
    </row>
    <row r="46" spans="1:248" ht="13.35" customHeight="1" thickBot="1" x14ac:dyDescent="0.25">
      <c r="A46" s="183">
        <f t="shared" si="1"/>
        <v>45</v>
      </c>
      <c r="B46" s="183">
        <v>0</v>
      </c>
      <c r="C46" s="183">
        <f t="shared" si="2"/>
        <v>45</v>
      </c>
      <c r="E46" s="189" t="s">
        <v>674</v>
      </c>
      <c r="F46" s="190" t="s">
        <v>991</v>
      </c>
      <c r="G46" s="190" t="s">
        <v>999</v>
      </c>
      <c r="H46" s="190" t="s">
        <v>999</v>
      </c>
      <c r="I46" s="190" t="s">
        <v>992</v>
      </c>
      <c r="J46" s="190" t="s">
        <v>995</v>
      </c>
      <c r="K46" s="190" t="s">
        <v>1004</v>
      </c>
      <c r="L46" s="190" t="s">
        <v>1009</v>
      </c>
      <c r="M46" s="190" t="s">
        <v>1004</v>
      </c>
      <c r="N46" s="190" t="s">
        <v>1009</v>
      </c>
      <c r="O46" s="190" t="s">
        <v>1004</v>
      </c>
      <c r="P46" s="190" t="s">
        <v>1002</v>
      </c>
      <c r="Q46" s="190" t="s">
        <v>1002</v>
      </c>
      <c r="R46" s="190" t="s">
        <v>1010</v>
      </c>
      <c r="S46" s="190" t="s">
        <v>1002</v>
      </c>
      <c r="T46" s="190" t="s">
        <v>993</v>
      </c>
      <c r="U46" s="190" t="s">
        <v>1004</v>
      </c>
      <c r="V46" s="190" t="s">
        <v>1010</v>
      </c>
      <c r="W46" s="190" t="s">
        <v>993</v>
      </c>
      <c r="X46" s="190" t="s">
        <v>1010</v>
      </c>
      <c r="Y46" s="190" t="s">
        <v>994</v>
      </c>
      <c r="Z46" s="190"/>
      <c r="AA46" s="190" t="s">
        <v>1004</v>
      </c>
      <c r="AB46" s="190" t="s">
        <v>1004</v>
      </c>
      <c r="AC46" s="190" t="s">
        <v>1010</v>
      </c>
      <c r="AD46" s="190" t="s">
        <v>991</v>
      </c>
      <c r="AE46" s="190"/>
      <c r="AF46" s="190" t="s">
        <v>1005</v>
      </c>
      <c r="AG46" s="190" t="s">
        <v>1005</v>
      </c>
      <c r="AH46" s="190" t="s">
        <v>1010</v>
      </c>
      <c r="AI46" s="190"/>
      <c r="AJ46" s="190" t="s">
        <v>1005</v>
      </c>
      <c r="AK46" s="190" t="s">
        <v>1001</v>
      </c>
      <c r="AL46" s="190" t="s">
        <v>1032</v>
      </c>
      <c r="AM46" s="190" t="s">
        <v>1002</v>
      </c>
      <c r="AN46" s="190"/>
      <c r="AO46" s="190" t="s">
        <v>1002</v>
      </c>
      <c r="AP46" s="190" t="s">
        <v>1004</v>
      </c>
      <c r="AQ46" s="190" t="s">
        <v>992</v>
      </c>
      <c r="AR46" s="190"/>
      <c r="AS46" s="190" t="s">
        <v>1004</v>
      </c>
      <c r="AT46" s="190" t="s">
        <v>1004</v>
      </c>
      <c r="AU46" s="190" t="s">
        <v>1004</v>
      </c>
      <c r="AV46" s="190" t="s">
        <v>1004</v>
      </c>
      <c r="AW46" s="190" t="s">
        <v>1004</v>
      </c>
      <c r="AX46" s="190" t="s">
        <v>1004</v>
      </c>
      <c r="AY46" s="190" t="s">
        <v>1004</v>
      </c>
      <c r="AZ46" s="190" t="s">
        <v>1004</v>
      </c>
      <c r="BA46" s="190" t="s">
        <v>1004</v>
      </c>
      <c r="BB46" s="190" t="s">
        <v>1004</v>
      </c>
      <c r="BC46" s="190" t="s">
        <v>1004</v>
      </c>
      <c r="BD46" s="190" t="s">
        <v>1004</v>
      </c>
      <c r="BE46" s="190" t="s">
        <v>1004</v>
      </c>
      <c r="BF46" s="190" t="s">
        <v>1004</v>
      </c>
      <c r="BG46" s="190" t="s">
        <v>1004</v>
      </c>
      <c r="BH46" s="190" t="s">
        <v>1004</v>
      </c>
      <c r="BI46" s="190" t="s">
        <v>1004</v>
      </c>
      <c r="BJ46" s="190" t="s">
        <v>1004</v>
      </c>
      <c r="BK46" s="190" t="s">
        <v>1004</v>
      </c>
      <c r="BL46" s="190" t="s">
        <v>1004</v>
      </c>
      <c r="BM46" s="190" t="s">
        <v>1004</v>
      </c>
      <c r="BN46" s="190" t="s">
        <v>1004</v>
      </c>
      <c r="BO46" s="190" t="s">
        <v>1004</v>
      </c>
      <c r="BP46" s="190" t="s">
        <v>1004</v>
      </c>
      <c r="BQ46" s="190" t="s">
        <v>1004</v>
      </c>
      <c r="BR46" s="190" t="s">
        <v>1004</v>
      </c>
      <c r="BS46" s="190" t="s">
        <v>1004</v>
      </c>
      <c r="BT46" s="190" t="s">
        <v>1004</v>
      </c>
      <c r="BU46" s="190" t="s">
        <v>1004</v>
      </c>
      <c r="BV46" s="190" t="s">
        <v>1004</v>
      </c>
      <c r="BW46" s="190" t="s">
        <v>1004</v>
      </c>
      <c r="BX46" s="190" t="s">
        <v>1004</v>
      </c>
      <c r="BY46" s="190" t="s">
        <v>1004</v>
      </c>
      <c r="BZ46" s="190" t="s">
        <v>1004</v>
      </c>
      <c r="CA46" s="190" t="s">
        <v>1004</v>
      </c>
      <c r="CB46" s="190" t="s">
        <v>1004</v>
      </c>
      <c r="CC46" s="190" t="s">
        <v>1004</v>
      </c>
      <c r="CD46" s="190" t="s">
        <v>1004</v>
      </c>
      <c r="CE46" s="190" t="s">
        <v>1004</v>
      </c>
      <c r="CF46" s="190" t="s">
        <v>1004</v>
      </c>
      <c r="CG46" s="190" t="s">
        <v>1004</v>
      </c>
      <c r="CH46" s="190" t="s">
        <v>1004</v>
      </c>
      <c r="CI46" s="190" t="s">
        <v>1004</v>
      </c>
      <c r="CJ46" s="190" t="s">
        <v>1004</v>
      </c>
      <c r="CK46" s="190" t="s">
        <v>1004</v>
      </c>
      <c r="CL46" s="190" t="s">
        <v>1004</v>
      </c>
      <c r="CM46" s="190" t="s">
        <v>1004</v>
      </c>
      <c r="CN46" s="190" t="s">
        <v>1004</v>
      </c>
      <c r="CO46" s="190" t="s">
        <v>1004</v>
      </c>
      <c r="CP46" s="190" t="s">
        <v>1004</v>
      </c>
      <c r="CQ46" s="190" t="s">
        <v>1004</v>
      </c>
      <c r="CR46" s="190"/>
      <c r="CS46" s="190" t="s">
        <v>994</v>
      </c>
      <c r="CT46" s="190" t="s">
        <v>999</v>
      </c>
      <c r="CU46" s="190" t="s">
        <v>995</v>
      </c>
      <c r="CV46" s="190" t="s">
        <v>991</v>
      </c>
      <c r="CW46" s="190"/>
      <c r="CX46" s="190" t="s">
        <v>1010</v>
      </c>
      <c r="CY46" s="190" t="s">
        <v>1004</v>
      </c>
      <c r="CZ46" s="190" t="s">
        <v>1009</v>
      </c>
      <c r="DA46" s="190" t="s">
        <v>994</v>
      </c>
      <c r="DB46" s="190" t="s">
        <v>1004</v>
      </c>
      <c r="DC46" s="190" t="s">
        <v>1004</v>
      </c>
      <c r="DD46" s="190" t="s">
        <v>1004</v>
      </c>
      <c r="DE46" s="190"/>
      <c r="DF46" s="174">
        <v>45</v>
      </c>
      <c r="DH46" s="174" t="s">
        <v>1011</v>
      </c>
      <c r="DI46" s="174" t="s">
        <v>981</v>
      </c>
      <c r="DJ46" s="174">
        <v>14</v>
      </c>
      <c r="DK46" s="174">
        <v>-2</v>
      </c>
      <c r="DM46" s="174">
        <v>-2</v>
      </c>
      <c r="DN46" s="174">
        <v>-2</v>
      </c>
      <c r="DO46" s="174">
        <v>14</v>
      </c>
      <c r="DQ46" s="174">
        <v>-4</v>
      </c>
      <c r="DR46" s="174">
        <v>-4</v>
      </c>
      <c r="DS46" s="174">
        <v>-6</v>
      </c>
      <c r="DW46" s="174">
        <v>20</v>
      </c>
      <c r="DX46" s="174">
        <v>10</v>
      </c>
      <c r="DY46" s="174">
        <v>1</v>
      </c>
      <c r="DZ46" s="174">
        <v>2</v>
      </c>
      <c r="EA46" s="174">
        <v>0.5</v>
      </c>
      <c r="EB46" s="174">
        <f>DZ46*10</f>
        <v>20</v>
      </c>
      <c r="ED46" s="174" t="s">
        <v>981</v>
      </c>
      <c r="EE46" s="174">
        <v>2111</v>
      </c>
      <c r="EF46" s="174">
        <v>2111</v>
      </c>
      <c r="EG46" s="174">
        <v>2111</v>
      </c>
      <c r="EH46" s="174">
        <v>2111</v>
      </c>
      <c r="EI46" s="174">
        <v>2111</v>
      </c>
      <c r="EJ46" s="174">
        <v>2111</v>
      </c>
      <c r="EK46" s="174">
        <v>2111</v>
      </c>
      <c r="EL46" s="174">
        <v>9853</v>
      </c>
      <c r="EN46" s="174" t="s">
        <v>1112</v>
      </c>
      <c r="EO46" s="174">
        <v>12</v>
      </c>
      <c r="EP46" s="174">
        <v>12</v>
      </c>
      <c r="EQ46" s="174">
        <v>12</v>
      </c>
      <c r="ER46" s="174">
        <v>14</v>
      </c>
      <c r="ES46" s="174">
        <v>12</v>
      </c>
      <c r="ET46" s="174">
        <v>10</v>
      </c>
      <c r="EU46" s="174">
        <v>10</v>
      </c>
      <c r="EV46" s="174">
        <v>10</v>
      </c>
      <c r="EW46" s="174">
        <v>12</v>
      </c>
      <c r="EX46" s="174">
        <v>12</v>
      </c>
      <c r="EY46" s="174">
        <v>13</v>
      </c>
      <c r="EZ46" s="174">
        <v>10</v>
      </c>
      <c r="FA46" s="174">
        <v>10</v>
      </c>
      <c r="FB46" s="174">
        <v>12</v>
      </c>
      <c r="FC46" s="174">
        <v>10</v>
      </c>
      <c r="FD46" s="174">
        <v>12</v>
      </c>
      <c r="FE46" s="174">
        <v>11</v>
      </c>
      <c r="FF46" s="174">
        <v>11</v>
      </c>
      <c r="FG46" s="174">
        <v>12</v>
      </c>
      <c r="FH46" s="174">
        <v>12</v>
      </c>
      <c r="FI46" s="174">
        <v>12</v>
      </c>
      <c r="FJ46" s="174">
        <v>12</v>
      </c>
      <c r="FK46" s="174">
        <v>12</v>
      </c>
      <c r="FL46" s="174">
        <v>12</v>
      </c>
      <c r="FM46" s="174">
        <v>12</v>
      </c>
      <c r="FN46" s="174">
        <v>12</v>
      </c>
      <c r="FO46" s="174">
        <v>12</v>
      </c>
      <c r="FP46" s="174">
        <v>12</v>
      </c>
      <c r="FQ46" s="174">
        <v>12</v>
      </c>
      <c r="FR46" s="174">
        <v>12</v>
      </c>
      <c r="FS46" s="174">
        <v>12</v>
      </c>
      <c r="FT46" s="174">
        <v>12</v>
      </c>
      <c r="FU46" s="174">
        <v>12</v>
      </c>
      <c r="FV46" s="174">
        <v>12</v>
      </c>
      <c r="FW46" s="174">
        <v>12</v>
      </c>
      <c r="FX46" s="174">
        <v>12</v>
      </c>
      <c r="FY46" s="174">
        <v>12</v>
      </c>
      <c r="FZ46" s="174">
        <v>12</v>
      </c>
      <c r="GA46" s="174">
        <v>12</v>
      </c>
      <c r="GB46" s="174">
        <v>12</v>
      </c>
      <c r="GC46" s="174">
        <v>12</v>
      </c>
      <c r="GD46" s="174">
        <v>12</v>
      </c>
      <c r="GE46" s="174">
        <v>12</v>
      </c>
      <c r="GF46" s="174">
        <v>12</v>
      </c>
      <c r="GG46" s="174">
        <v>12</v>
      </c>
      <c r="GH46" s="174">
        <v>12</v>
      </c>
      <c r="GL46" s="174">
        <v>13</v>
      </c>
      <c r="GM46" s="174">
        <v>10</v>
      </c>
      <c r="GN46" s="174">
        <v>12</v>
      </c>
      <c r="GO46" s="174">
        <v>10</v>
      </c>
      <c r="GP46" s="174">
        <v>12</v>
      </c>
      <c r="GQ46" s="174">
        <v>10</v>
      </c>
      <c r="GR46" s="174">
        <v>10</v>
      </c>
      <c r="HA46" s="174">
        <v>45</v>
      </c>
      <c r="HB46" s="197">
        <v>43</v>
      </c>
      <c r="HC46" s="183">
        <v>42</v>
      </c>
      <c r="HD46" s="183">
        <v>67</v>
      </c>
      <c r="HE46" s="194">
        <v>25</v>
      </c>
      <c r="HF46" s="183">
        <v>108</v>
      </c>
      <c r="HG46" s="193" t="e">
        <f t="shared" si="3"/>
        <v>#N/A</v>
      </c>
      <c r="HH46" s="192" t="e">
        <f t="shared" si="4"/>
        <v>#N/A</v>
      </c>
      <c r="HI46" s="198">
        <v>25</v>
      </c>
      <c r="HJ46" s="185">
        <v>111.5</v>
      </c>
      <c r="HK46" s="174">
        <v>44</v>
      </c>
      <c r="HL46" s="174">
        <v>262</v>
      </c>
      <c r="HM46" s="174">
        <v>236</v>
      </c>
      <c r="HN46" s="174">
        <v>202</v>
      </c>
      <c r="HO46" s="174">
        <v>164</v>
      </c>
      <c r="HP46" s="174">
        <v>154</v>
      </c>
      <c r="HQ46" s="174">
        <v>144</v>
      </c>
      <c r="HR46" s="174">
        <v>134</v>
      </c>
      <c r="HS46" s="174">
        <v>202</v>
      </c>
      <c r="HT46" s="174">
        <v>192</v>
      </c>
      <c r="HU46" s="174">
        <v>144</v>
      </c>
      <c r="HV46" s="174">
        <v>158</v>
      </c>
      <c r="HW46" s="174">
        <v>134</v>
      </c>
      <c r="HX46" s="174">
        <v>124</v>
      </c>
      <c r="HY46" s="174">
        <v>114</v>
      </c>
      <c r="HZ46" s="174">
        <v>104</v>
      </c>
      <c r="IA46" s="174">
        <v>148</v>
      </c>
      <c r="IB46" s="174">
        <v>128</v>
      </c>
      <c r="IC46" s="174">
        <v>104</v>
      </c>
      <c r="ID46" s="174">
        <v>74</v>
      </c>
      <c r="IE46" s="174">
        <v>54</v>
      </c>
      <c r="IF46" s="174">
        <v>46</v>
      </c>
      <c r="IM46" s="174">
        <v>1700000</v>
      </c>
      <c r="IN46" s="174">
        <v>44</v>
      </c>
    </row>
    <row r="47" spans="1:248" ht="13.35" customHeight="1" thickBot="1" x14ac:dyDescent="0.25">
      <c r="A47" s="183">
        <f t="shared" si="1"/>
        <v>46</v>
      </c>
      <c r="B47" s="183">
        <v>0</v>
      </c>
      <c r="C47" s="183">
        <f t="shared" si="2"/>
        <v>46</v>
      </c>
      <c r="E47" s="189" t="s">
        <v>679</v>
      </c>
      <c r="F47" s="190" t="s">
        <v>1006</v>
      </c>
      <c r="G47" s="190" t="s">
        <v>1006</v>
      </c>
      <c r="H47" s="190" t="s">
        <v>1006</v>
      </c>
      <c r="I47" s="190" t="s">
        <v>1006</v>
      </c>
      <c r="J47" s="190" t="s">
        <v>1006</v>
      </c>
      <c r="K47" s="190" t="s">
        <v>1006</v>
      </c>
      <c r="L47" s="190" t="s">
        <v>1006</v>
      </c>
      <c r="M47" s="190" t="s">
        <v>1113</v>
      </c>
      <c r="N47" s="190" t="s">
        <v>1006</v>
      </c>
      <c r="O47" s="190" t="s">
        <v>1006</v>
      </c>
      <c r="P47" s="190" t="s">
        <v>1006</v>
      </c>
      <c r="Q47" s="190" t="s">
        <v>1006</v>
      </c>
      <c r="R47" s="190" t="s">
        <v>1006</v>
      </c>
      <c r="S47" s="190" t="s">
        <v>1006</v>
      </c>
      <c r="T47" s="190" t="s">
        <v>1006</v>
      </c>
      <c r="U47" s="190" t="s">
        <v>1006</v>
      </c>
      <c r="V47" s="190" t="s">
        <v>1006</v>
      </c>
      <c r="W47" s="190" t="s">
        <v>1006</v>
      </c>
      <c r="X47" s="190" t="s">
        <v>1006</v>
      </c>
      <c r="Y47" s="190" t="s">
        <v>1006</v>
      </c>
      <c r="Z47" s="190"/>
      <c r="AA47" s="190" t="s">
        <v>1006</v>
      </c>
      <c r="AB47" s="190" t="s">
        <v>1006</v>
      </c>
      <c r="AC47" s="190" t="s">
        <v>1006</v>
      </c>
      <c r="AD47" s="190" t="s">
        <v>1006</v>
      </c>
      <c r="AE47" s="190"/>
      <c r="AF47" s="190" t="s">
        <v>1006</v>
      </c>
      <c r="AG47" s="190" t="s">
        <v>1006</v>
      </c>
      <c r="AH47" s="190" t="s">
        <v>1006</v>
      </c>
      <c r="AI47" s="190"/>
      <c r="AJ47" s="190" t="s">
        <v>1006</v>
      </c>
      <c r="AK47" s="190" t="s">
        <v>1006</v>
      </c>
      <c r="AL47" s="190" t="s">
        <v>1006</v>
      </c>
      <c r="AM47" s="190" t="s">
        <v>1006</v>
      </c>
      <c r="AN47" s="190"/>
      <c r="AO47" s="190" t="s">
        <v>1006</v>
      </c>
      <c r="AP47" s="190" t="s">
        <v>1006</v>
      </c>
      <c r="AQ47" s="190" t="s">
        <v>1006</v>
      </c>
      <c r="AR47" s="190"/>
      <c r="AS47" s="190" t="s">
        <v>1006</v>
      </c>
      <c r="AT47" s="190" t="s">
        <v>1006</v>
      </c>
      <c r="AU47" s="190" t="s">
        <v>1006</v>
      </c>
      <c r="AV47" s="190" t="s">
        <v>1006</v>
      </c>
      <c r="AW47" s="190" t="s">
        <v>1006</v>
      </c>
      <c r="AX47" s="190" t="s">
        <v>1006</v>
      </c>
      <c r="AY47" s="190" t="s">
        <v>1006</v>
      </c>
      <c r="AZ47" s="190" t="s">
        <v>1006</v>
      </c>
      <c r="BA47" s="190" t="s">
        <v>1006</v>
      </c>
      <c r="BB47" s="190" t="s">
        <v>1006</v>
      </c>
      <c r="BC47" s="190" t="s">
        <v>1006</v>
      </c>
      <c r="BD47" s="190" t="s">
        <v>1006</v>
      </c>
      <c r="BE47" s="190" t="s">
        <v>1006</v>
      </c>
      <c r="BF47" s="190" t="s">
        <v>1006</v>
      </c>
      <c r="BG47" s="190" t="s">
        <v>1006</v>
      </c>
      <c r="BH47" s="190" t="s">
        <v>1006</v>
      </c>
      <c r="BI47" s="190" t="s">
        <v>1006</v>
      </c>
      <c r="BJ47" s="190" t="s">
        <v>1006</v>
      </c>
      <c r="BK47" s="190" t="s">
        <v>1006</v>
      </c>
      <c r="BL47" s="190" t="s">
        <v>1006</v>
      </c>
      <c r="BM47" s="190" t="s">
        <v>1006</v>
      </c>
      <c r="BN47" s="190" t="s">
        <v>1006</v>
      </c>
      <c r="BO47" s="190" t="s">
        <v>1006</v>
      </c>
      <c r="BP47" s="190" t="s">
        <v>1006</v>
      </c>
      <c r="BQ47" s="190" t="s">
        <v>1006</v>
      </c>
      <c r="BR47" s="190" t="s">
        <v>1006</v>
      </c>
      <c r="BS47" s="190" t="s">
        <v>1006</v>
      </c>
      <c r="BT47" s="190" t="s">
        <v>1006</v>
      </c>
      <c r="BU47" s="190" t="s">
        <v>1006</v>
      </c>
      <c r="BV47" s="190" t="s">
        <v>1006</v>
      </c>
      <c r="BW47" s="190" t="s">
        <v>1006</v>
      </c>
      <c r="BX47" s="190" t="s">
        <v>1006</v>
      </c>
      <c r="BY47" s="190" t="s">
        <v>1006</v>
      </c>
      <c r="BZ47" s="190" t="s">
        <v>1006</v>
      </c>
      <c r="CA47" s="190" t="s">
        <v>1006</v>
      </c>
      <c r="CB47" s="190" t="s">
        <v>1006</v>
      </c>
      <c r="CC47" s="190" t="s">
        <v>1006</v>
      </c>
      <c r="CD47" s="190" t="s">
        <v>1006</v>
      </c>
      <c r="CE47" s="190" t="s">
        <v>1006</v>
      </c>
      <c r="CF47" s="190" t="s">
        <v>1006</v>
      </c>
      <c r="CG47" s="190" t="s">
        <v>1006</v>
      </c>
      <c r="CH47" s="190" t="s">
        <v>1006</v>
      </c>
      <c r="CI47" s="190" t="s">
        <v>1006</v>
      </c>
      <c r="CJ47" s="190" t="s">
        <v>1006</v>
      </c>
      <c r="CK47" s="190" t="s">
        <v>1006</v>
      </c>
      <c r="CL47" s="190" t="s">
        <v>1006</v>
      </c>
      <c r="CM47" s="190" t="s">
        <v>1006</v>
      </c>
      <c r="CN47" s="190" t="s">
        <v>1006</v>
      </c>
      <c r="CO47" s="190" t="s">
        <v>1006</v>
      </c>
      <c r="CP47" s="190" t="s">
        <v>1006</v>
      </c>
      <c r="CQ47" s="190" t="s">
        <v>1006</v>
      </c>
      <c r="CR47" s="190"/>
      <c r="CS47" s="190" t="s">
        <v>1006</v>
      </c>
      <c r="CT47" s="190" t="s">
        <v>1006</v>
      </c>
      <c r="CU47" s="190" t="s">
        <v>1006</v>
      </c>
      <c r="CV47" s="190" t="s">
        <v>1006</v>
      </c>
      <c r="CW47" s="190"/>
      <c r="CX47" s="190" t="s">
        <v>1006</v>
      </c>
      <c r="CY47" s="190" t="s">
        <v>1006</v>
      </c>
      <c r="CZ47" s="190" t="s">
        <v>1006</v>
      </c>
      <c r="DA47" s="190" t="s">
        <v>1006</v>
      </c>
      <c r="DB47" s="190" t="s">
        <v>1006</v>
      </c>
      <c r="DC47" s="190" t="s">
        <v>1006</v>
      </c>
      <c r="DD47" s="190" t="s">
        <v>1006</v>
      </c>
      <c r="DE47" s="190"/>
      <c r="DF47" s="174">
        <v>46</v>
      </c>
      <c r="DH47" s="182" t="s">
        <v>936</v>
      </c>
      <c r="DI47" s="182" t="s">
        <v>948</v>
      </c>
      <c r="DJ47" s="182">
        <v>4</v>
      </c>
      <c r="DK47" s="182"/>
      <c r="DL47" s="182"/>
      <c r="DM47" s="182"/>
      <c r="DN47" s="182"/>
      <c r="DO47" s="182">
        <v>4</v>
      </c>
      <c r="DP47" s="182"/>
      <c r="DQ47" s="182">
        <v>2</v>
      </c>
      <c r="DR47" s="182"/>
      <c r="DS47" s="182"/>
      <c r="DT47" s="182"/>
      <c r="DU47" s="182"/>
      <c r="DV47" s="182"/>
      <c r="DW47" s="182">
        <v>5</v>
      </c>
      <c r="DX47" s="182">
        <v>15</v>
      </c>
      <c r="DY47" s="182">
        <v>10</v>
      </c>
      <c r="DZ47" s="182">
        <v>4</v>
      </c>
      <c r="EA47" s="182">
        <v>0.75</v>
      </c>
      <c r="EB47" s="182">
        <f>DZ47*10</f>
        <v>40</v>
      </c>
      <c r="ED47" s="174" t="s">
        <v>948</v>
      </c>
      <c r="EE47" s="174">
        <v>6543</v>
      </c>
      <c r="EF47" s="174">
        <v>6543</v>
      </c>
      <c r="EG47" s="174">
        <v>7654</v>
      </c>
      <c r="EH47" s="174">
        <v>6453</v>
      </c>
      <c r="EI47" s="174">
        <v>6543</v>
      </c>
      <c r="EJ47" s="174">
        <v>6543</v>
      </c>
      <c r="EK47" s="174">
        <v>6543</v>
      </c>
      <c r="EL47" s="174">
        <v>7531</v>
      </c>
      <c r="EO47" s="174">
        <f t="shared" ref="EO47:FT47" si="6">SUM(EO4:EO45)</f>
        <v>54</v>
      </c>
      <c r="EP47" s="174">
        <f t="shared" si="6"/>
        <v>54</v>
      </c>
      <c r="EQ47" s="174">
        <f t="shared" si="6"/>
        <v>46</v>
      </c>
      <c r="ER47" s="174">
        <f t="shared" si="6"/>
        <v>44</v>
      </c>
      <c r="ES47" s="174">
        <f t="shared" si="6"/>
        <v>51</v>
      </c>
      <c r="ET47" s="174">
        <f t="shared" si="6"/>
        <v>57</v>
      </c>
      <c r="EU47" s="174">
        <f t="shared" si="6"/>
        <v>57</v>
      </c>
      <c r="EV47" s="174">
        <f t="shared" si="6"/>
        <v>52</v>
      </c>
      <c r="EW47" s="174">
        <f t="shared" si="6"/>
        <v>50</v>
      </c>
      <c r="EX47" s="174">
        <f t="shared" si="6"/>
        <v>50</v>
      </c>
      <c r="EY47" s="174">
        <f t="shared" si="6"/>
        <v>54</v>
      </c>
      <c r="EZ47" s="174">
        <f t="shared" si="6"/>
        <v>54</v>
      </c>
      <c r="FA47" s="174">
        <f t="shared" si="6"/>
        <v>56</v>
      </c>
      <c r="FB47" s="174">
        <f t="shared" si="6"/>
        <v>52</v>
      </c>
      <c r="FC47" s="174">
        <f t="shared" si="6"/>
        <v>68</v>
      </c>
      <c r="FD47" s="174">
        <f t="shared" si="6"/>
        <v>70</v>
      </c>
      <c r="FE47" s="174">
        <f t="shared" si="6"/>
        <v>68</v>
      </c>
      <c r="FF47" s="174">
        <f t="shared" si="6"/>
        <v>53</v>
      </c>
      <c r="FG47" s="174">
        <f t="shared" si="6"/>
        <v>56</v>
      </c>
      <c r="FH47" s="174">
        <f t="shared" si="6"/>
        <v>47</v>
      </c>
      <c r="FI47" s="174">
        <f t="shared" si="6"/>
        <v>44</v>
      </c>
      <c r="FJ47" s="174">
        <f t="shared" si="6"/>
        <v>49</v>
      </c>
      <c r="FK47" s="174">
        <f t="shared" si="6"/>
        <v>45</v>
      </c>
      <c r="FL47" s="174">
        <f t="shared" si="6"/>
        <v>52</v>
      </c>
      <c r="FM47" s="174">
        <f t="shared" si="6"/>
        <v>49</v>
      </c>
      <c r="FN47" s="174">
        <f t="shared" si="6"/>
        <v>49</v>
      </c>
      <c r="FO47" s="174">
        <f t="shared" si="6"/>
        <v>54</v>
      </c>
      <c r="FP47" s="174">
        <f t="shared" si="6"/>
        <v>44</v>
      </c>
      <c r="FQ47" s="174">
        <f t="shared" si="6"/>
        <v>48</v>
      </c>
      <c r="FR47" s="174">
        <f t="shared" si="6"/>
        <v>45</v>
      </c>
      <c r="FS47" s="174">
        <f t="shared" si="6"/>
        <v>58</v>
      </c>
      <c r="FT47" s="174">
        <f t="shared" si="6"/>
        <v>59</v>
      </c>
      <c r="FU47" s="174">
        <f t="shared" ref="FU47:GR47" si="7">SUM(FU4:FU45)</f>
        <v>56</v>
      </c>
      <c r="FV47" s="174">
        <f t="shared" si="7"/>
        <v>60</v>
      </c>
      <c r="FW47" s="174">
        <f t="shared" si="7"/>
        <v>60</v>
      </c>
      <c r="FX47" s="174">
        <f t="shared" si="7"/>
        <v>60</v>
      </c>
      <c r="FY47" s="174">
        <f t="shared" si="7"/>
        <v>60</v>
      </c>
      <c r="FZ47" s="174">
        <f t="shared" si="7"/>
        <v>54</v>
      </c>
      <c r="GA47" s="174">
        <f t="shared" si="7"/>
        <v>49</v>
      </c>
      <c r="GB47" s="174">
        <f t="shared" si="7"/>
        <v>43</v>
      </c>
      <c r="GC47" s="174">
        <f t="shared" si="7"/>
        <v>49</v>
      </c>
      <c r="GD47" s="174">
        <f t="shared" si="7"/>
        <v>43</v>
      </c>
      <c r="GE47" s="174">
        <f t="shared" si="7"/>
        <v>43</v>
      </c>
      <c r="GF47" s="174">
        <f t="shared" si="7"/>
        <v>43</v>
      </c>
      <c r="GG47" s="174">
        <f t="shared" si="7"/>
        <v>49</v>
      </c>
      <c r="GH47" s="174">
        <f t="shared" si="7"/>
        <v>49</v>
      </c>
      <c r="GI47" s="174">
        <f t="shared" si="7"/>
        <v>0</v>
      </c>
      <c r="GJ47" s="174">
        <f t="shared" si="7"/>
        <v>0</v>
      </c>
      <c r="GK47" s="174">
        <f t="shared" si="7"/>
        <v>0</v>
      </c>
      <c r="GL47" s="174">
        <f t="shared" si="7"/>
        <v>51</v>
      </c>
      <c r="GM47" s="174">
        <f t="shared" si="7"/>
        <v>53</v>
      </c>
      <c r="GN47" s="174">
        <f t="shared" si="7"/>
        <v>44</v>
      </c>
      <c r="GO47" s="174">
        <f t="shared" si="7"/>
        <v>57</v>
      </c>
      <c r="GP47" s="174">
        <f t="shared" si="7"/>
        <v>43</v>
      </c>
      <c r="GQ47" s="174">
        <f t="shared" si="7"/>
        <v>61</v>
      </c>
      <c r="GR47" s="174">
        <f t="shared" si="7"/>
        <v>63</v>
      </c>
      <c r="HA47" s="174">
        <v>46</v>
      </c>
      <c r="HB47" s="197">
        <v>44</v>
      </c>
      <c r="HC47" s="183">
        <v>42</v>
      </c>
      <c r="HD47" s="183">
        <v>67</v>
      </c>
      <c r="HE47" s="194">
        <v>25</v>
      </c>
      <c r="HF47" s="183">
        <v>109</v>
      </c>
      <c r="HG47" s="193" t="e">
        <f t="shared" si="3"/>
        <v>#N/A</v>
      </c>
      <c r="HH47" s="192" t="e">
        <f t="shared" si="4"/>
        <v>#N/A</v>
      </c>
      <c r="HI47" s="198">
        <v>25</v>
      </c>
      <c r="HJ47" s="185">
        <v>112</v>
      </c>
      <c r="HK47" s="174">
        <v>45</v>
      </c>
      <c r="HL47" s="174">
        <v>265</v>
      </c>
      <c r="HM47" s="174">
        <v>240</v>
      </c>
      <c r="HN47" s="174">
        <v>205</v>
      </c>
      <c r="HO47" s="174">
        <v>165</v>
      </c>
      <c r="HP47" s="174">
        <v>155</v>
      </c>
      <c r="HQ47" s="174">
        <v>145</v>
      </c>
      <c r="HR47" s="174">
        <v>135</v>
      </c>
      <c r="HS47" s="174">
        <v>205</v>
      </c>
      <c r="HT47" s="174">
        <v>195</v>
      </c>
      <c r="HU47" s="174">
        <v>145</v>
      </c>
      <c r="HV47" s="174">
        <v>160</v>
      </c>
      <c r="HW47" s="174">
        <v>135</v>
      </c>
      <c r="HX47" s="174">
        <v>125</v>
      </c>
      <c r="HY47" s="174">
        <v>115</v>
      </c>
      <c r="HZ47" s="174">
        <v>105</v>
      </c>
      <c r="IA47" s="174">
        <v>150</v>
      </c>
      <c r="IB47" s="174">
        <v>130</v>
      </c>
      <c r="IC47" s="174">
        <v>105</v>
      </c>
      <c r="ID47" s="174">
        <v>75</v>
      </c>
      <c r="IE47" s="174">
        <v>55</v>
      </c>
      <c r="IF47" s="174">
        <v>47</v>
      </c>
      <c r="IM47" s="174">
        <v>1750000</v>
      </c>
      <c r="IN47" s="174">
        <v>45</v>
      </c>
    </row>
    <row r="48" spans="1:248" ht="13.35" customHeight="1" thickBot="1" x14ac:dyDescent="0.25">
      <c r="A48" s="183">
        <f t="shared" si="1"/>
        <v>47</v>
      </c>
      <c r="B48" s="183">
        <v>0</v>
      </c>
      <c r="C48" s="183">
        <f t="shared" si="2"/>
        <v>47</v>
      </c>
      <c r="E48" s="189" t="s">
        <v>1114</v>
      </c>
      <c r="F48" s="190" t="s">
        <v>988</v>
      </c>
      <c r="G48" s="190" t="s">
        <v>988</v>
      </c>
      <c r="H48" s="190" t="s">
        <v>988</v>
      </c>
      <c r="I48" s="190" t="s">
        <v>988</v>
      </c>
      <c r="J48" s="190" t="s">
        <v>988</v>
      </c>
      <c r="K48" s="190" t="s">
        <v>988</v>
      </c>
      <c r="L48" s="190" t="s">
        <v>988</v>
      </c>
      <c r="M48" s="190" t="s">
        <v>988</v>
      </c>
      <c r="N48" s="190" t="s">
        <v>988</v>
      </c>
      <c r="O48" s="190" t="s">
        <v>988</v>
      </c>
      <c r="P48" s="190" t="s">
        <v>988</v>
      </c>
      <c r="Q48" s="190" t="s">
        <v>988</v>
      </c>
      <c r="R48" s="190" t="s">
        <v>988</v>
      </c>
      <c r="S48" s="190" t="s">
        <v>988</v>
      </c>
      <c r="T48" s="190" t="s">
        <v>988</v>
      </c>
      <c r="U48" s="190" t="s">
        <v>988</v>
      </c>
      <c r="V48" s="190" t="s">
        <v>988</v>
      </c>
      <c r="W48" s="190" t="s">
        <v>988</v>
      </c>
      <c r="X48" s="190" t="s">
        <v>988</v>
      </c>
      <c r="Y48" s="190" t="s">
        <v>988</v>
      </c>
      <c r="Z48" s="190"/>
      <c r="AA48" s="190" t="s">
        <v>988</v>
      </c>
      <c r="AB48" s="190" t="s">
        <v>988</v>
      </c>
      <c r="AC48" s="190" t="s">
        <v>988</v>
      </c>
      <c r="AD48" s="190" t="s">
        <v>988</v>
      </c>
      <c r="AE48" s="190"/>
      <c r="AF48" s="190" t="s">
        <v>988</v>
      </c>
      <c r="AG48" s="190" t="s">
        <v>988</v>
      </c>
      <c r="AH48" s="190" t="s">
        <v>988</v>
      </c>
      <c r="AI48" s="190"/>
      <c r="AJ48" s="190" t="s">
        <v>988</v>
      </c>
      <c r="AK48" s="190" t="s">
        <v>988</v>
      </c>
      <c r="AL48" s="190" t="s">
        <v>988</v>
      </c>
      <c r="AM48" s="190" t="s">
        <v>988</v>
      </c>
      <c r="AN48" s="190"/>
      <c r="AO48" s="190" t="s">
        <v>988</v>
      </c>
      <c r="AP48" s="190" t="s">
        <v>988</v>
      </c>
      <c r="AQ48" s="190" t="s">
        <v>988</v>
      </c>
      <c r="AR48" s="190"/>
      <c r="AS48" s="190" t="s">
        <v>988</v>
      </c>
      <c r="AT48" s="190" t="s">
        <v>988</v>
      </c>
      <c r="AU48" s="190" t="s">
        <v>988</v>
      </c>
      <c r="AV48" s="190" t="s">
        <v>988</v>
      </c>
      <c r="AW48" s="190" t="s">
        <v>988</v>
      </c>
      <c r="AX48" s="190" t="s">
        <v>988</v>
      </c>
      <c r="AY48" s="190" t="s">
        <v>988</v>
      </c>
      <c r="AZ48" s="190" t="s">
        <v>988</v>
      </c>
      <c r="BA48" s="190" t="s">
        <v>988</v>
      </c>
      <c r="BB48" s="190" t="s">
        <v>988</v>
      </c>
      <c r="BC48" s="190" t="s">
        <v>988</v>
      </c>
      <c r="BD48" s="190" t="s">
        <v>988</v>
      </c>
      <c r="BE48" s="190" t="s">
        <v>988</v>
      </c>
      <c r="BF48" s="190" t="s">
        <v>988</v>
      </c>
      <c r="BG48" s="190" t="s">
        <v>988</v>
      </c>
      <c r="BH48" s="190" t="s">
        <v>988</v>
      </c>
      <c r="BI48" s="190" t="s">
        <v>988</v>
      </c>
      <c r="BJ48" s="190" t="s">
        <v>988</v>
      </c>
      <c r="BK48" s="190" t="s">
        <v>988</v>
      </c>
      <c r="BL48" s="190" t="s">
        <v>988</v>
      </c>
      <c r="BM48" s="190" t="s">
        <v>988</v>
      </c>
      <c r="BN48" s="190" t="s">
        <v>988</v>
      </c>
      <c r="BO48" s="190" t="s">
        <v>988</v>
      </c>
      <c r="BP48" s="190" t="s">
        <v>988</v>
      </c>
      <c r="BQ48" s="190" t="s">
        <v>988</v>
      </c>
      <c r="BR48" s="190" t="s">
        <v>988</v>
      </c>
      <c r="BS48" s="190" t="s">
        <v>988</v>
      </c>
      <c r="BT48" s="190" t="s">
        <v>988</v>
      </c>
      <c r="BU48" s="190" t="s">
        <v>988</v>
      </c>
      <c r="BV48" s="190" t="s">
        <v>988</v>
      </c>
      <c r="BW48" s="190" t="s">
        <v>988</v>
      </c>
      <c r="BX48" s="190" t="s">
        <v>988</v>
      </c>
      <c r="BY48" s="190" t="s">
        <v>988</v>
      </c>
      <c r="BZ48" s="190" t="s">
        <v>988</v>
      </c>
      <c r="CA48" s="190" t="s">
        <v>988</v>
      </c>
      <c r="CB48" s="190" t="s">
        <v>988</v>
      </c>
      <c r="CC48" s="190" t="s">
        <v>988</v>
      </c>
      <c r="CD48" s="190" t="s">
        <v>988</v>
      </c>
      <c r="CE48" s="190" t="s">
        <v>988</v>
      </c>
      <c r="CF48" s="190" t="s">
        <v>988</v>
      </c>
      <c r="CG48" s="190" t="s">
        <v>988</v>
      </c>
      <c r="CH48" s="190" t="s">
        <v>988</v>
      </c>
      <c r="CI48" s="190" t="s">
        <v>988</v>
      </c>
      <c r="CJ48" s="190" t="s">
        <v>988</v>
      </c>
      <c r="CK48" s="190" t="s">
        <v>988</v>
      </c>
      <c r="CL48" s="190" t="s">
        <v>988</v>
      </c>
      <c r="CM48" s="190" t="s">
        <v>988</v>
      </c>
      <c r="CN48" s="190" t="s">
        <v>988</v>
      </c>
      <c r="CO48" s="190" t="s">
        <v>988</v>
      </c>
      <c r="CP48" s="190" t="s">
        <v>988</v>
      </c>
      <c r="CQ48" s="190" t="s">
        <v>988</v>
      </c>
      <c r="CR48" s="190"/>
      <c r="CS48" s="190" t="s">
        <v>988</v>
      </c>
      <c r="CT48" s="190" t="s">
        <v>988</v>
      </c>
      <c r="CU48" s="190" t="s">
        <v>988</v>
      </c>
      <c r="CV48" s="190" t="s">
        <v>988</v>
      </c>
      <c r="CW48" s="190"/>
      <c r="CX48" s="190" t="s">
        <v>988</v>
      </c>
      <c r="CY48" s="190" t="s">
        <v>988</v>
      </c>
      <c r="CZ48" s="190" t="s">
        <v>988</v>
      </c>
      <c r="DA48" s="190" t="s">
        <v>988</v>
      </c>
      <c r="DB48" s="190" t="s">
        <v>988</v>
      </c>
      <c r="DC48" s="190" t="s">
        <v>988</v>
      </c>
      <c r="DD48" s="190" t="s">
        <v>988</v>
      </c>
      <c r="DE48" s="190"/>
      <c r="DF48" s="174">
        <v>47</v>
      </c>
      <c r="DH48" s="174" t="s">
        <v>900</v>
      </c>
      <c r="DI48" s="174" t="s">
        <v>955</v>
      </c>
      <c r="DJ48" s="174">
        <v>2</v>
      </c>
      <c r="DL48" s="174">
        <v>2</v>
      </c>
      <c r="DO48" s="174">
        <v>2</v>
      </c>
      <c r="DQ48" s="174">
        <v>2</v>
      </c>
      <c r="DY48" s="174">
        <v>11</v>
      </c>
      <c r="DZ48" s="174">
        <v>5</v>
      </c>
      <c r="EA48" s="174">
        <v>0.9</v>
      </c>
      <c r="EB48" s="174">
        <f>DZ48*10</f>
        <v>50</v>
      </c>
      <c r="ED48" s="174" t="s">
        <v>955</v>
      </c>
      <c r="EE48" s="174">
        <v>6543</v>
      </c>
      <c r="EF48" s="174">
        <v>6543</v>
      </c>
      <c r="EG48" s="174">
        <v>7654</v>
      </c>
      <c r="EH48" s="174">
        <v>6543</v>
      </c>
      <c r="EI48" s="174">
        <v>6543</v>
      </c>
      <c r="EJ48" s="174">
        <v>6543</v>
      </c>
      <c r="EK48" s="174">
        <v>6543</v>
      </c>
      <c r="EL48" s="174">
        <v>7521</v>
      </c>
      <c r="GG48" s="202"/>
      <c r="HB48" s="197">
        <v>45</v>
      </c>
      <c r="HC48" s="183">
        <v>43</v>
      </c>
      <c r="HD48" s="183">
        <v>68</v>
      </c>
      <c r="HE48" s="194">
        <v>25</v>
      </c>
      <c r="HF48" s="183">
        <v>110</v>
      </c>
      <c r="HG48" s="193" t="e">
        <f t="shared" si="3"/>
        <v>#N/A</v>
      </c>
      <c r="HH48" s="192" t="e">
        <f t="shared" si="4"/>
        <v>#N/A</v>
      </c>
      <c r="HI48" s="198">
        <v>25</v>
      </c>
      <c r="HJ48" s="185">
        <v>112.5</v>
      </c>
      <c r="HK48" s="174">
        <v>46</v>
      </c>
      <c r="HL48" s="174">
        <v>268</v>
      </c>
      <c r="HM48" s="174">
        <v>244</v>
      </c>
      <c r="HN48" s="174">
        <v>208</v>
      </c>
      <c r="HO48" s="174">
        <v>166</v>
      </c>
      <c r="HP48" s="174">
        <v>156</v>
      </c>
      <c r="HQ48" s="174">
        <v>146</v>
      </c>
      <c r="HR48" s="174">
        <v>136</v>
      </c>
      <c r="HS48" s="174">
        <v>208</v>
      </c>
      <c r="HT48" s="174">
        <v>198</v>
      </c>
      <c r="HU48" s="174">
        <v>146</v>
      </c>
      <c r="HV48" s="174">
        <v>162</v>
      </c>
      <c r="HW48" s="174">
        <v>136</v>
      </c>
      <c r="HX48" s="174">
        <v>126</v>
      </c>
      <c r="HY48" s="174">
        <v>116</v>
      </c>
      <c r="HZ48" s="174">
        <v>106</v>
      </c>
      <c r="IA48" s="174">
        <v>152</v>
      </c>
      <c r="IB48" s="174">
        <v>132</v>
      </c>
      <c r="IC48" s="174">
        <v>106</v>
      </c>
      <c r="ID48" s="174">
        <v>76</v>
      </c>
      <c r="IE48" s="174">
        <v>56</v>
      </c>
      <c r="IF48" s="174">
        <v>48</v>
      </c>
      <c r="IM48" s="174">
        <v>1800000</v>
      </c>
      <c r="IN48" s="174">
        <v>46</v>
      </c>
    </row>
    <row r="49" spans="1:250" ht="13.35" customHeight="1" thickBot="1" x14ac:dyDescent="0.25">
      <c r="A49" s="183">
        <f t="shared" si="1"/>
        <v>48</v>
      </c>
      <c r="B49" s="183">
        <v>0</v>
      </c>
      <c r="C49" s="183">
        <f t="shared" si="2"/>
        <v>48</v>
      </c>
      <c r="E49" s="189" t="s">
        <v>700</v>
      </c>
      <c r="F49" s="190" t="s">
        <v>1028</v>
      </c>
      <c r="G49" s="190" t="s">
        <v>1028</v>
      </c>
      <c r="H49" s="190" t="s">
        <v>1028</v>
      </c>
      <c r="I49" s="190" t="s">
        <v>1028</v>
      </c>
      <c r="J49" s="190" t="s">
        <v>1028</v>
      </c>
      <c r="K49" s="190" t="s">
        <v>1028</v>
      </c>
      <c r="L49" s="190" t="s">
        <v>1028</v>
      </c>
      <c r="M49" s="190" t="s">
        <v>1028</v>
      </c>
      <c r="N49" s="190" t="s">
        <v>1028</v>
      </c>
      <c r="O49" s="190" t="s">
        <v>1028</v>
      </c>
      <c r="P49" s="190" t="s">
        <v>1028</v>
      </c>
      <c r="Q49" s="190" t="s">
        <v>1028</v>
      </c>
      <c r="R49" s="190" t="s">
        <v>1028</v>
      </c>
      <c r="S49" s="190" t="s">
        <v>1028</v>
      </c>
      <c r="T49" s="190" t="s">
        <v>1028</v>
      </c>
      <c r="U49" s="190" t="s">
        <v>1028</v>
      </c>
      <c r="V49" s="190" t="s">
        <v>1028</v>
      </c>
      <c r="W49" s="190" t="s">
        <v>1028</v>
      </c>
      <c r="X49" s="190" t="s">
        <v>1028</v>
      </c>
      <c r="Y49" s="190" t="s">
        <v>1028</v>
      </c>
      <c r="Z49" s="190"/>
      <c r="AA49" s="190" t="s">
        <v>1028</v>
      </c>
      <c r="AB49" s="190" t="s">
        <v>1028</v>
      </c>
      <c r="AC49" s="190" t="s">
        <v>1028</v>
      </c>
      <c r="AD49" s="190" t="s">
        <v>1028</v>
      </c>
      <c r="AE49" s="190"/>
      <c r="AF49" s="190" t="s">
        <v>1028</v>
      </c>
      <c r="AG49" s="190" t="s">
        <v>1028</v>
      </c>
      <c r="AH49" s="190" t="s">
        <v>1028</v>
      </c>
      <c r="AI49" s="190"/>
      <c r="AJ49" s="190" t="s">
        <v>1028</v>
      </c>
      <c r="AK49" s="190" t="s">
        <v>1028</v>
      </c>
      <c r="AL49" s="190" t="s">
        <v>1028</v>
      </c>
      <c r="AM49" s="190" t="s">
        <v>1028</v>
      </c>
      <c r="AN49" s="190"/>
      <c r="AO49" s="190" t="s">
        <v>1028</v>
      </c>
      <c r="AP49" s="190" t="s">
        <v>1028</v>
      </c>
      <c r="AQ49" s="190" t="s">
        <v>1028</v>
      </c>
      <c r="AR49" s="190"/>
      <c r="AS49" s="190" t="s">
        <v>1028</v>
      </c>
      <c r="AT49" s="190" t="s">
        <v>1028</v>
      </c>
      <c r="AU49" s="190" t="s">
        <v>1028</v>
      </c>
      <c r="AV49" s="190" t="s">
        <v>1028</v>
      </c>
      <c r="AW49" s="190" t="s">
        <v>1028</v>
      </c>
      <c r="AX49" s="190" t="s">
        <v>1028</v>
      </c>
      <c r="AY49" s="190" t="s">
        <v>1028</v>
      </c>
      <c r="AZ49" s="190" t="s">
        <v>1028</v>
      </c>
      <c r="BA49" s="190" t="s">
        <v>1028</v>
      </c>
      <c r="BB49" s="190" t="s">
        <v>1028</v>
      </c>
      <c r="BC49" s="190" t="s">
        <v>1028</v>
      </c>
      <c r="BD49" s="190" t="s">
        <v>1028</v>
      </c>
      <c r="BE49" s="190" t="s">
        <v>1028</v>
      </c>
      <c r="BF49" s="190" t="s">
        <v>1028</v>
      </c>
      <c r="BG49" s="190" t="s">
        <v>1028</v>
      </c>
      <c r="BH49" s="190" t="s">
        <v>1028</v>
      </c>
      <c r="BI49" s="190" t="s">
        <v>1028</v>
      </c>
      <c r="BJ49" s="190" t="s">
        <v>1028</v>
      </c>
      <c r="BK49" s="190" t="s">
        <v>1028</v>
      </c>
      <c r="BL49" s="190" t="s">
        <v>1028</v>
      </c>
      <c r="BM49" s="190" t="s">
        <v>1028</v>
      </c>
      <c r="BN49" s="190" t="s">
        <v>1028</v>
      </c>
      <c r="BO49" s="190" t="s">
        <v>1028</v>
      </c>
      <c r="BP49" s="190" t="s">
        <v>1028</v>
      </c>
      <c r="BQ49" s="190" t="s">
        <v>1028</v>
      </c>
      <c r="BR49" s="190" t="s">
        <v>1028</v>
      </c>
      <c r="BS49" s="190" t="s">
        <v>1028</v>
      </c>
      <c r="BT49" s="190" t="s">
        <v>1028</v>
      </c>
      <c r="BU49" s="190" t="s">
        <v>1028</v>
      </c>
      <c r="BV49" s="190" t="s">
        <v>1028</v>
      </c>
      <c r="BW49" s="190" t="s">
        <v>1028</v>
      </c>
      <c r="BX49" s="190" t="s">
        <v>1028</v>
      </c>
      <c r="BY49" s="190" t="s">
        <v>1028</v>
      </c>
      <c r="BZ49" s="190" t="s">
        <v>1028</v>
      </c>
      <c r="CA49" s="190" t="s">
        <v>1028</v>
      </c>
      <c r="CB49" s="190" t="s">
        <v>1028</v>
      </c>
      <c r="CC49" s="190" t="s">
        <v>1028</v>
      </c>
      <c r="CD49" s="190" t="s">
        <v>1028</v>
      </c>
      <c r="CE49" s="190" t="s">
        <v>1028</v>
      </c>
      <c r="CF49" s="190" t="s">
        <v>1028</v>
      </c>
      <c r="CG49" s="190" t="s">
        <v>1028</v>
      </c>
      <c r="CH49" s="190" t="s">
        <v>1028</v>
      </c>
      <c r="CI49" s="190" t="s">
        <v>1028</v>
      </c>
      <c r="CJ49" s="190" t="s">
        <v>1028</v>
      </c>
      <c r="CK49" s="190" t="s">
        <v>1028</v>
      </c>
      <c r="CL49" s="190" t="s">
        <v>1028</v>
      </c>
      <c r="CM49" s="190" t="s">
        <v>1028</v>
      </c>
      <c r="CN49" s="190" t="s">
        <v>1028</v>
      </c>
      <c r="CO49" s="190" t="s">
        <v>1028</v>
      </c>
      <c r="CP49" s="190" t="s">
        <v>1028</v>
      </c>
      <c r="CQ49" s="190" t="s">
        <v>1028</v>
      </c>
      <c r="CR49" s="190"/>
      <c r="CS49" s="190" t="s">
        <v>1028</v>
      </c>
      <c r="CT49" s="190" t="s">
        <v>1028</v>
      </c>
      <c r="CU49" s="190" t="s">
        <v>1028</v>
      </c>
      <c r="CV49" s="190" t="s">
        <v>1028</v>
      </c>
      <c r="CW49" s="190"/>
      <c r="CX49" s="190" t="s">
        <v>1028</v>
      </c>
      <c r="CY49" s="190" t="s">
        <v>1028</v>
      </c>
      <c r="CZ49" s="190" t="s">
        <v>1028</v>
      </c>
      <c r="DA49" s="190" t="s">
        <v>1028</v>
      </c>
      <c r="DB49" s="190" t="s">
        <v>1006</v>
      </c>
      <c r="DC49" s="190" t="s">
        <v>1028</v>
      </c>
      <c r="DD49" s="190" t="s">
        <v>1028</v>
      </c>
      <c r="DE49" s="190"/>
      <c r="DF49" s="174">
        <v>48</v>
      </c>
      <c r="DH49" s="182" t="s">
        <v>1024</v>
      </c>
      <c r="DI49" s="182" t="s">
        <v>940</v>
      </c>
      <c r="DJ49" s="182"/>
      <c r="DK49" s="182"/>
      <c r="DL49" s="182">
        <v>2</v>
      </c>
      <c r="DM49" s="182"/>
      <c r="DN49" s="182"/>
      <c r="DO49" s="182">
        <v>2</v>
      </c>
      <c r="DP49" s="182"/>
      <c r="DQ49" s="182"/>
      <c r="DR49" s="182"/>
      <c r="DS49" s="182"/>
      <c r="DT49" s="182"/>
      <c r="DU49" s="182"/>
      <c r="DV49" s="182"/>
      <c r="DW49" s="182"/>
      <c r="DX49" s="182"/>
      <c r="DY49" s="182">
        <v>12</v>
      </c>
      <c r="DZ49" s="182">
        <v>6</v>
      </c>
      <c r="EA49" s="182">
        <v>1</v>
      </c>
      <c r="EB49" s="182">
        <v>55</v>
      </c>
      <c r="ED49" s="174" t="s">
        <v>940</v>
      </c>
      <c r="EE49" s="174">
        <v>6543</v>
      </c>
      <c r="EF49" s="174">
        <v>6543</v>
      </c>
      <c r="EG49" s="174">
        <v>7654</v>
      </c>
      <c r="EH49" s="174">
        <v>6543</v>
      </c>
      <c r="EI49" s="174">
        <v>6543</v>
      </c>
      <c r="EJ49" s="174">
        <v>6543</v>
      </c>
      <c r="EK49" s="174">
        <v>6543</v>
      </c>
      <c r="EL49" s="174">
        <v>6421</v>
      </c>
      <c r="EN49" s="202"/>
      <c r="EO49" s="202" t="s">
        <v>1115</v>
      </c>
      <c r="EP49" s="202" t="s">
        <v>1115</v>
      </c>
      <c r="EQ49" s="202" t="s">
        <v>1115</v>
      </c>
      <c r="ER49" s="202" t="s">
        <v>1115</v>
      </c>
      <c r="ES49" s="202" t="s">
        <v>1115</v>
      </c>
      <c r="ET49" s="202" t="s">
        <v>1115</v>
      </c>
      <c r="EU49" s="202" t="s">
        <v>1115</v>
      </c>
      <c r="EV49" s="202" t="s">
        <v>1115</v>
      </c>
      <c r="EW49" s="202" t="s">
        <v>1115</v>
      </c>
      <c r="EX49" s="202" t="s">
        <v>1115</v>
      </c>
      <c r="EY49" s="202" t="s">
        <v>1115</v>
      </c>
      <c r="EZ49" s="202" t="s">
        <v>1115</v>
      </c>
      <c r="FA49" s="202" t="s">
        <v>1115</v>
      </c>
      <c r="FB49" s="202" t="s">
        <v>1115</v>
      </c>
      <c r="FC49" s="202" t="s">
        <v>1115</v>
      </c>
      <c r="FD49" s="202" t="s">
        <v>1115</v>
      </c>
      <c r="FE49" s="202" t="s">
        <v>1115</v>
      </c>
      <c r="FF49" s="202" t="s">
        <v>1115</v>
      </c>
      <c r="FG49" s="202" t="s">
        <v>1115</v>
      </c>
      <c r="FH49" s="202" t="s">
        <v>1115</v>
      </c>
      <c r="FI49" s="202" t="s">
        <v>1115</v>
      </c>
      <c r="FJ49" s="202" t="s">
        <v>1115</v>
      </c>
      <c r="FK49" s="202" t="s">
        <v>1115</v>
      </c>
      <c r="FL49" s="202" t="s">
        <v>1115</v>
      </c>
      <c r="FM49" s="202" t="s">
        <v>1115</v>
      </c>
      <c r="FN49" s="202" t="s">
        <v>1115</v>
      </c>
      <c r="FO49" s="202" t="s">
        <v>1115</v>
      </c>
      <c r="FP49" s="202" t="s">
        <v>1115</v>
      </c>
      <c r="FQ49" s="202" t="s">
        <v>1115</v>
      </c>
      <c r="FR49" s="202" t="s">
        <v>1115</v>
      </c>
      <c r="FS49" s="202" t="s">
        <v>1115</v>
      </c>
      <c r="FT49" s="202" t="s">
        <v>1115</v>
      </c>
      <c r="FU49" s="202" t="s">
        <v>1115</v>
      </c>
      <c r="FV49" s="202" t="s">
        <v>1115</v>
      </c>
      <c r="FW49" s="202" t="s">
        <v>1115</v>
      </c>
      <c r="FX49" s="202" t="s">
        <v>1115</v>
      </c>
      <c r="FY49" s="202" t="s">
        <v>1115</v>
      </c>
      <c r="FZ49" s="202" t="s">
        <v>1115</v>
      </c>
      <c r="GA49" s="202" t="s">
        <v>1115</v>
      </c>
      <c r="GB49" s="202" t="s">
        <v>1115</v>
      </c>
      <c r="GC49" s="202" t="s">
        <v>1115</v>
      </c>
      <c r="GD49" s="202" t="s">
        <v>1115</v>
      </c>
      <c r="GE49" s="202" t="s">
        <v>1115</v>
      </c>
      <c r="GF49" s="202" t="s">
        <v>1115</v>
      </c>
      <c r="GG49" s="202" t="s">
        <v>1115</v>
      </c>
      <c r="GH49" s="202" t="s">
        <v>1115</v>
      </c>
      <c r="GI49" s="202"/>
      <c r="GJ49" s="202"/>
      <c r="GK49" s="202"/>
      <c r="GL49" s="202" t="s">
        <v>1115</v>
      </c>
      <c r="GM49" s="202" t="s">
        <v>1115</v>
      </c>
      <c r="GN49" s="202" t="s">
        <v>1115</v>
      </c>
      <c r="GO49" s="202"/>
      <c r="GP49" s="202"/>
      <c r="GQ49" s="202"/>
      <c r="GR49" s="202"/>
      <c r="GS49" s="202"/>
      <c r="GT49" s="202"/>
      <c r="GU49" s="202"/>
      <c r="GV49" s="202"/>
      <c r="GW49" s="202"/>
      <c r="GX49" s="202"/>
      <c r="GY49" s="202"/>
      <c r="GZ49" s="202"/>
      <c r="HB49" s="197">
        <v>46</v>
      </c>
      <c r="HC49" s="183">
        <v>43</v>
      </c>
      <c r="HD49" s="183">
        <v>68</v>
      </c>
      <c r="HE49" s="194">
        <v>25</v>
      </c>
      <c r="HF49" s="183">
        <v>111</v>
      </c>
      <c r="HG49" s="193" t="e">
        <f t="shared" si="3"/>
        <v>#N/A</v>
      </c>
      <c r="HH49" s="192" t="e">
        <f t="shared" si="4"/>
        <v>#N/A</v>
      </c>
      <c r="HI49" s="198">
        <v>25</v>
      </c>
      <c r="HJ49" s="185">
        <v>113</v>
      </c>
      <c r="HK49" s="174">
        <v>47</v>
      </c>
      <c r="HL49" s="174">
        <v>271</v>
      </c>
      <c r="HM49" s="174">
        <v>248</v>
      </c>
      <c r="HN49" s="174">
        <v>211</v>
      </c>
      <c r="HO49" s="174">
        <v>167</v>
      </c>
      <c r="HP49" s="174">
        <v>157</v>
      </c>
      <c r="HQ49" s="174">
        <v>147</v>
      </c>
      <c r="HR49" s="174">
        <v>137</v>
      </c>
      <c r="HS49" s="174">
        <v>211</v>
      </c>
      <c r="HT49" s="174">
        <v>201</v>
      </c>
      <c r="HU49" s="174">
        <v>147</v>
      </c>
      <c r="HV49" s="174">
        <v>164</v>
      </c>
      <c r="HW49" s="174">
        <v>137</v>
      </c>
      <c r="HX49" s="174">
        <v>127</v>
      </c>
      <c r="HY49" s="174">
        <v>117</v>
      </c>
      <c r="HZ49" s="174">
        <v>107</v>
      </c>
      <c r="IA49" s="174">
        <v>154</v>
      </c>
      <c r="IB49" s="174">
        <v>134</v>
      </c>
      <c r="IC49" s="174">
        <v>107</v>
      </c>
      <c r="ID49" s="174">
        <v>77</v>
      </c>
      <c r="IE49" s="174">
        <v>57</v>
      </c>
      <c r="IF49" s="174">
        <v>49</v>
      </c>
      <c r="IM49" s="174">
        <v>1850000</v>
      </c>
      <c r="IN49" s="174">
        <v>47</v>
      </c>
    </row>
    <row r="50" spans="1:250" ht="13.35" customHeight="1" thickBot="1" x14ac:dyDescent="0.25">
      <c r="A50" s="183">
        <f t="shared" si="1"/>
        <v>49</v>
      </c>
      <c r="B50" s="183">
        <v>0</v>
      </c>
      <c r="C50" s="183">
        <f t="shared" si="2"/>
        <v>49</v>
      </c>
      <c r="E50" s="189" t="s">
        <v>714</v>
      </c>
      <c r="F50" s="190" t="s">
        <v>992</v>
      </c>
      <c r="G50" s="190" t="s">
        <v>996</v>
      </c>
      <c r="H50" s="190" t="s">
        <v>999</v>
      </c>
      <c r="I50" s="190" t="s">
        <v>995</v>
      </c>
      <c r="J50" s="190" t="s">
        <v>991</v>
      </c>
      <c r="K50" s="190" t="s">
        <v>1009</v>
      </c>
      <c r="L50" s="190" t="s">
        <v>1009</v>
      </c>
      <c r="M50" s="190" t="s">
        <v>1009</v>
      </c>
      <c r="N50" s="190" t="s">
        <v>1005</v>
      </c>
      <c r="O50" s="190" t="s">
        <v>1005</v>
      </c>
      <c r="P50" s="190" t="s">
        <v>1009</v>
      </c>
      <c r="Q50" s="190" t="s">
        <v>1009</v>
      </c>
      <c r="R50" s="190" t="s">
        <v>991</v>
      </c>
      <c r="S50" s="190" t="s">
        <v>1009</v>
      </c>
      <c r="T50" s="190" t="s">
        <v>1001</v>
      </c>
      <c r="U50" s="190" t="s">
        <v>1005</v>
      </c>
      <c r="V50" s="190" t="s">
        <v>1006</v>
      </c>
      <c r="W50" s="190" t="s">
        <v>993</v>
      </c>
      <c r="X50" s="190" t="s">
        <v>992</v>
      </c>
      <c r="Y50" s="190" t="s">
        <v>994</v>
      </c>
      <c r="Z50" s="190"/>
      <c r="AA50" s="190" t="s">
        <v>1005</v>
      </c>
      <c r="AB50" s="190" t="s">
        <v>1005</v>
      </c>
      <c r="AC50" s="190" t="s">
        <v>1001</v>
      </c>
      <c r="AD50" s="190" t="s">
        <v>995</v>
      </c>
      <c r="AE50" s="190"/>
      <c r="AF50" s="190" t="s">
        <v>1009</v>
      </c>
      <c r="AG50" s="190" t="s">
        <v>1009</v>
      </c>
      <c r="AH50" s="190" t="s">
        <v>1006</v>
      </c>
      <c r="AI50" s="190"/>
      <c r="AJ50" s="190" t="s">
        <v>1005</v>
      </c>
      <c r="AK50" s="190" t="s">
        <v>992</v>
      </c>
      <c r="AL50" s="190" t="s">
        <v>1047</v>
      </c>
      <c r="AM50" s="190" t="s">
        <v>1009</v>
      </c>
      <c r="AN50" s="190"/>
      <c r="AO50" s="190" t="s">
        <v>1009</v>
      </c>
      <c r="AP50" s="190" t="s">
        <v>1009</v>
      </c>
      <c r="AQ50" s="190" t="s">
        <v>992</v>
      </c>
      <c r="AR50" s="190"/>
      <c r="AS50" s="190" t="s">
        <v>1009</v>
      </c>
      <c r="AT50" s="190" t="s">
        <v>1009</v>
      </c>
      <c r="AU50" s="190" t="s">
        <v>1009</v>
      </c>
      <c r="AV50" s="190" t="s">
        <v>1009</v>
      </c>
      <c r="AW50" s="190" t="s">
        <v>1009</v>
      </c>
      <c r="AX50" s="190" t="s">
        <v>1009</v>
      </c>
      <c r="AY50" s="190" t="s">
        <v>1009</v>
      </c>
      <c r="AZ50" s="190" t="s">
        <v>1009</v>
      </c>
      <c r="BA50" s="190" t="s">
        <v>1009</v>
      </c>
      <c r="BB50" s="190" t="s">
        <v>1009</v>
      </c>
      <c r="BC50" s="190" t="s">
        <v>1009</v>
      </c>
      <c r="BD50" s="190" t="s">
        <v>1009</v>
      </c>
      <c r="BE50" s="190" t="s">
        <v>1009</v>
      </c>
      <c r="BF50" s="190" t="s">
        <v>1009</v>
      </c>
      <c r="BG50" s="190" t="s">
        <v>1009</v>
      </c>
      <c r="BH50" s="190" t="s">
        <v>1009</v>
      </c>
      <c r="BI50" s="190" t="s">
        <v>1009</v>
      </c>
      <c r="BJ50" s="190" t="s">
        <v>1009</v>
      </c>
      <c r="BK50" s="190" t="s">
        <v>1009</v>
      </c>
      <c r="BL50" s="190" t="s">
        <v>1009</v>
      </c>
      <c r="BM50" s="190" t="s">
        <v>1009</v>
      </c>
      <c r="BN50" s="190" t="s">
        <v>1009</v>
      </c>
      <c r="BO50" s="190" t="s">
        <v>1009</v>
      </c>
      <c r="BP50" s="190" t="s">
        <v>1009</v>
      </c>
      <c r="BQ50" s="190" t="s">
        <v>1009</v>
      </c>
      <c r="BR50" s="190" t="s">
        <v>1009</v>
      </c>
      <c r="BS50" s="190" t="s">
        <v>1009</v>
      </c>
      <c r="BT50" s="190" t="s">
        <v>1009</v>
      </c>
      <c r="BU50" s="190" t="s">
        <v>1009</v>
      </c>
      <c r="BV50" s="190" t="s">
        <v>1009</v>
      </c>
      <c r="BW50" s="190" t="s">
        <v>1009</v>
      </c>
      <c r="BX50" s="190" t="s">
        <v>1009</v>
      </c>
      <c r="BY50" s="190" t="s">
        <v>1009</v>
      </c>
      <c r="BZ50" s="190" t="s">
        <v>1009</v>
      </c>
      <c r="CA50" s="190" t="s">
        <v>1009</v>
      </c>
      <c r="CB50" s="190" t="s">
        <v>1009</v>
      </c>
      <c r="CC50" s="190" t="s">
        <v>1009</v>
      </c>
      <c r="CD50" s="190" t="s">
        <v>1009</v>
      </c>
      <c r="CE50" s="190" t="s">
        <v>1009</v>
      </c>
      <c r="CF50" s="190" t="s">
        <v>1009</v>
      </c>
      <c r="CG50" s="190" t="s">
        <v>1009</v>
      </c>
      <c r="CH50" s="190" t="s">
        <v>1009</v>
      </c>
      <c r="CI50" s="190" t="s">
        <v>1009</v>
      </c>
      <c r="CJ50" s="190" t="s">
        <v>1009</v>
      </c>
      <c r="CK50" s="190" t="s">
        <v>1009</v>
      </c>
      <c r="CL50" s="190" t="s">
        <v>1009</v>
      </c>
      <c r="CM50" s="190" t="s">
        <v>1009</v>
      </c>
      <c r="CN50" s="190" t="s">
        <v>1009</v>
      </c>
      <c r="CO50" s="190" t="s">
        <v>1009</v>
      </c>
      <c r="CP50" s="190" t="s">
        <v>1009</v>
      </c>
      <c r="CQ50" s="190" t="s">
        <v>1009</v>
      </c>
      <c r="CR50" s="190"/>
      <c r="CS50" s="190" t="s">
        <v>1005</v>
      </c>
      <c r="CT50" s="190" t="s">
        <v>1001</v>
      </c>
      <c r="CU50" s="190" t="s">
        <v>995</v>
      </c>
      <c r="CV50" s="190" t="s">
        <v>999</v>
      </c>
      <c r="CW50" s="190"/>
      <c r="CX50" s="190" t="s">
        <v>1005</v>
      </c>
      <c r="CY50" s="190" t="s">
        <v>1009</v>
      </c>
      <c r="CZ50" s="190" t="s">
        <v>1005</v>
      </c>
      <c r="DA50" s="190" t="s">
        <v>1005</v>
      </c>
      <c r="DB50" s="190" t="s">
        <v>1009</v>
      </c>
      <c r="DC50" s="190" t="s">
        <v>1009</v>
      </c>
      <c r="DD50" s="190" t="s">
        <v>1009</v>
      </c>
      <c r="DE50" s="190"/>
      <c r="DF50" s="174">
        <v>49</v>
      </c>
      <c r="DH50" s="174" t="s">
        <v>907</v>
      </c>
      <c r="DI50" s="174" t="s">
        <v>972</v>
      </c>
      <c r="DL50" s="174">
        <v>2</v>
      </c>
      <c r="DO50" s="174">
        <v>2</v>
      </c>
      <c r="DQ50" s="174">
        <v>-2</v>
      </c>
      <c r="DR50" s="174">
        <v>2</v>
      </c>
      <c r="DY50" s="174">
        <v>12</v>
      </c>
      <c r="DZ50" s="174">
        <v>6</v>
      </c>
      <c r="EA50" s="174">
        <v>1</v>
      </c>
      <c r="EB50" s="174">
        <v>50</v>
      </c>
      <c r="ED50" s="174" t="s">
        <v>972</v>
      </c>
      <c r="EE50" s="174">
        <v>6543</v>
      </c>
      <c r="EF50" s="174">
        <v>6543</v>
      </c>
      <c r="EG50" s="174">
        <v>7654</v>
      </c>
      <c r="EH50" s="174">
        <v>6543</v>
      </c>
      <c r="EI50" s="174">
        <v>6543</v>
      </c>
      <c r="EJ50" s="174">
        <v>6543</v>
      </c>
      <c r="EK50" s="174">
        <v>6543</v>
      </c>
      <c r="EL50" s="174">
        <v>6421</v>
      </c>
      <c r="EN50" s="174" t="s">
        <v>1116</v>
      </c>
      <c r="EO50" s="185" t="s">
        <v>1043</v>
      </c>
      <c r="EP50" s="174" t="s">
        <v>1043</v>
      </c>
      <c r="EQ50" s="185" t="s">
        <v>892</v>
      </c>
      <c r="ER50" s="185" t="s">
        <v>892</v>
      </c>
      <c r="ES50" s="174" t="s">
        <v>893</v>
      </c>
      <c r="ET50" s="185" t="s">
        <v>893</v>
      </c>
      <c r="EU50" s="185" t="s">
        <v>893</v>
      </c>
      <c r="EV50" s="185" t="s">
        <v>893</v>
      </c>
      <c r="EW50" s="185" t="s">
        <v>893</v>
      </c>
      <c r="EX50" s="185" t="s">
        <v>894</v>
      </c>
      <c r="EY50" s="174" t="s">
        <v>893</v>
      </c>
      <c r="EZ50" s="174" t="s">
        <v>893</v>
      </c>
      <c r="FA50" s="174" t="s">
        <v>893</v>
      </c>
      <c r="FB50" s="185" t="s">
        <v>895</v>
      </c>
      <c r="FC50" s="185" t="s">
        <v>4171</v>
      </c>
      <c r="FD50" s="185" t="s">
        <v>4173</v>
      </c>
      <c r="FE50" s="185" t="s">
        <v>4172</v>
      </c>
      <c r="FF50" s="185" t="s">
        <v>899</v>
      </c>
      <c r="FG50" s="185" t="s">
        <v>900</v>
      </c>
      <c r="FH50" s="185" t="s">
        <v>901</v>
      </c>
      <c r="FI50" s="185" t="s">
        <v>900</v>
      </c>
      <c r="FJ50" s="185" t="s">
        <v>900</v>
      </c>
      <c r="FK50" s="185" t="s">
        <v>900</v>
      </c>
      <c r="FL50" s="185" t="s">
        <v>900</v>
      </c>
      <c r="FM50" s="185" t="s">
        <v>900</v>
      </c>
      <c r="FN50" s="185" t="s">
        <v>900</v>
      </c>
      <c r="FO50" s="185" t="s">
        <v>900</v>
      </c>
      <c r="FP50" s="174" t="s">
        <v>900</v>
      </c>
      <c r="FQ50" s="185" t="s">
        <v>1117</v>
      </c>
      <c r="FR50" s="185" t="s">
        <v>1118</v>
      </c>
      <c r="FS50" s="185" t="s">
        <v>1049</v>
      </c>
      <c r="FT50" s="185" t="s">
        <v>1049</v>
      </c>
      <c r="FU50" s="185" t="s">
        <v>1049</v>
      </c>
      <c r="FV50" s="185" t="s">
        <v>906</v>
      </c>
      <c r="FW50" s="185" t="s">
        <v>906</v>
      </c>
      <c r="FX50" s="185" t="s">
        <v>906</v>
      </c>
      <c r="FY50" s="185" t="s">
        <v>906</v>
      </c>
      <c r="FZ50" s="185" t="s">
        <v>907</v>
      </c>
      <c r="GA50" s="185" t="s">
        <v>907</v>
      </c>
      <c r="GB50" s="185" t="s">
        <v>907</v>
      </c>
      <c r="GC50" s="185" t="s">
        <v>907</v>
      </c>
      <c r="GD50" s="174" t="s">
        <v>907</v>
      </c>
      <c r="GE50" s="185" t="s">
        <v>907</v>
      </c>
      <c r="GF50" s="185" t="s">
        <v>907</v>
      </c>
      <c r="GG50" s="185" t="s">
        <v>907</v>
      </c>
      <c r="GH50" s="185" t="s">
        <v>907</v>
      </c>
      <c r="GI50" s="185" t="s">
        <v>908</v>
      </c>
      <c r="GJ50" s="185" t="s">
        <v>909</v>
      </c>
      <c r="GK50" s="185" t="s">
        <v>910</v>
      </c>
      <c r="GL50" s="185" t="s">
        <v>911</v>
      </c>
      <c r="GM50" s="185" t="s">
        <v>912</v>
      </c>
      <c r="GN50" s="185" t="s">
        <v>913</v>
      </c>
      <c r="GO50" s="185" t="s">
        <v>914</v>
      </c>
      <c r="GP50" s="185" t="s">
        <v>915</v>
      </c>
      <c r="GQ50" s="185" t="s">
        <v>916</v>
      </c>
      <c r="GR50" s="174" t="s">
        <v>916</v>
      </c>
      <c r="GS50" s="174" t="s">
        <v>917</v>
      </c>
      <c r="GT50" s="174" t="s">
        <v>917</v>
      </c>
      <c r="GU50" s="174" t="s">
        <v>917</v>
      </c>
      <c r="GV50" s="174" t="s">
        <v>917</v>
      </c>
      <c r="GW50" s="174" t="s">
        <v>917</v>
      </c>
      <c r="GX50" s="174" t="s">
        <v>917</v>
      </c>
      <c r="HB50" s="197">
        <v>47</v>
      </c>
      <c r="HC50" s="183">
        <v>44</v>
      </c>
      <c r="HD50" s="183">
        <v>69</v>
      </c>
      <c r="HE50" s="194">
        <v>25</v>
      </c>
      <c r="HF50" s="183">
        <v>112</v>
      </c>
      <c r="HG50" s="193" t="e">
        <f t="shared" si="3"/>
        <v>#N/A</v>
      </c>
      <c r="HH50" s="192" t="e">
        <f t="shared" si="4"/>
        <v>#N/A</v>
      </c>
      <c r="HI50" s="198">
        <v>25</v>
      </c>
      <c r="HJ50" s="185">
        <v>113.5</v>
      </c>
      <c r="HK50" s="174">
        <v>48</v>
      </c>
      <c r="HL50" s="174">
        <v>274</v>
      </c>
      <c r="HM50" s="174">
        <v>252</v>
      </c>
      <c r="HN50" s="174">
        <v>214</v>
      </c>
      <c r="HO50" s="174">
        <v>168</v>
      </c>
      <c r="HP50" s="174">
        <v>158</v>
      </c>
      <c r="HQ50" s="174">
        <v>148</v>
      </c>
      <c r="HR50" s="174">
        <v>138</v>
      </c>
      <c r="HS50" s="174">
        <v>214</v>
      </c>
      <c r="HT50" s="174">
        <v>204</v>
      </c>
      <c r="HU50" s="174">
        <v>148</v>
      </c>
      <c r="HV50" s="174">
        <v>166</v>
      </c>
      <c r="HW50" s="174">
        <v>138</v>
      </c>
      <c r="HX50" s="174">
        <v>128</v>
      </c>
      <c r="HY50" s="174">
        <v>118</v>
      </c>
      <c r="HZ50" s="174">
        <v>108</v>
      </c>
      <c r="IA50" s="174">
        <v>156</v>
      </c>
      <c r="IB50" s="174">
        <v>136</v>
      </c>
      <c r="IC50" s="174">
        <v>108</v>
      </c>
      <c r="ID50" s="174">
        <v>78</v>
      </c>
      <c r="IE50" s="174">
        <v>58</v>
      </c>
      <c r="IF50" s="174">
        <v>50</v>
      </c>
      <c r="IM50" s="174">
        <v>1900000</v>
      </c>
      <c r="IN50" s="174">
        <v>48</v>
      </c>
    </row>
    <row r="51" spans="1:250" ht="13.35" customHeight="1" thickBot="1" x14ac:dyDescent="0.25">
      <c r="A51" s="183">
        <f t="shared" si="1"/>
        <v>50</v>
      </c>
      <c r="B51" s="183">
        <v>0</v>
      </c>
      <c r="C51" s="183">
        <f t="shared" si="2"/>
        <v>50</v>
      </c>
      <c r="E51" s="189" t="s">
        <v>720</v>
      </c>
      <c r="F51" s="190" t="s">
        <v>993</v>
      </c>
      <c r="G51" s="190" t="s">
        <v>1010</v>
      </c>
      <c r="H51" s="190" t="s">
        <v>991</v>
      </c>
      <c r="I51" s="190" t="s">
        <v>1005</v>
      </c>
      <c r="J51" s="190" t="s">
        <v>1001</v>
      </c>
      <c r="K51" s="190" t="s">
        <v>987</v>
      </c>
      <c r="L51" s="190" t="s">
        <v>987</v>
      </c>
      <c r="M51" s="190" t="s">
        <v>1002</v>
      </c>
      <c r="N51" s="190" t="s">
        <v>1002</v>
      </c>
      <c r="O51" s="190" t="s">
        <v>1002</v>
      </c>
      <c r="P51" s="190" t="s">
        <v>1002</v>
      </c>
      <c r="Q51" s="190" t="s">
        <v>987</v>
      </c>
      <c r="R51" s="190" t="s">
        <v>987</v>
      </c>
      <c r="S51" s="190" t="s">
        <v>987</v>
      </c>
      <c r="T51" s="190" t="s">
        <v>1006</v>
      </c>
      <c r="U51" s="190" t="s">
        <v>991</v>
      </c>
      <c r="V51" s="190" t="s">
        <v>1004</v>
      </c>
      <c r="W51" s="190" t="s">
        <v>1007</v>
      </c>
      <c r="X51" s="190" t="s">
        <v>1007</v>
      </c>
      <c r="Y51" s="190" t="s">
        <v>1006</v>
      </c>
      <c r="Z51" s="190"/>
      <c r="AA51" s="190" t="s">
        <v>987</v>
      </c>
      <c r="AB51" s="190" t="s">
        <v>987</v>
      </c>
      <c r="AC51" s="190" t="s">
        <v>1005</v>
      </c>
      <c r="AD51" s="190" t="s">
        <v>1047</v>
      </c>
      <c r="AE51" s="190"/>
      <c r="AF51" s="190" t="s">
        <v>987</v>
      </c>
      <c r="AG51" s="190" t="s">
        <v>987</v>
      </c>
      <c r="AH51" s="190" t="s">
        <v>1007</v>
      </c>
      <c r="AI51" s="190"/>
      <c r="AJ51" s="190" t="s">
        <v>991</v>
      </c>
      <c r="AK51" s="190" t="s">
        <v>987</v>
      </c>
      <c r="AL51" s="190" t="s">
        <v>1002</v>
      </c>
      <c r="AM51" s="190" t="s">
        <v>987</v>
      </c>
      <c r="AN51" s="190"/>
      <c r="AO51" s="190" t="s">
        <v>987</v>
      </c>
      <c r="AP51" s="190" t="s">
        <v>987</v>
      </c>
      <c r="AQ51" s="190" t="s">
        <v>1007</v>
      </c>
      <c r="AR51" s="190"/>
      <c r="AS51" s="190" t="s">
        <v>1003</v>
      </c>
      <c r="AT51" s="190" t="s">
        <v>1003</v>
      </c>
      <c r="AU51" s="190" t="s">
        <v>1003</v>
      </c>
      <c r="AV51" s="190" t="s">
        <v>1003</v>
      </c>
      <c r="AW51" s="190" t="s">
        <v>1003</v>
      </c>
      <c r="AX51" s="190" t="s">
        <v>1003</v>
      </c>
      <c r="AY51" s="190" t="s">
        <v>1003</v>
      </c>
      <c r="AZ51" s="190" t="s">
        <v>1003</v>
      </c>
      <c r="BA51" s="190" t="s">
        <v>1003</v>
      </c>
      <c r="BB51" s="190" t="s">
        <v>1003</v>
      </c>
      <c r="BC51" s="190" t="s">
        <v>1003</v>
      </c>
      <c r="BD51" s="190" t="s">
        <v>1003</v>
      </c>
      <c r="BE51" s="190" t="s">
        <v>1003</v>
      </c>
      <c r="BF51" s="190" t="s">
        <v>1003</v>
      </c>
      <c r="BG51" s="190" t="s">
        <v>1003</v>
      </c>
      <c r="BH51" s="190" t="s">
        <v>1003</v>
      </c>
      <c r="BI51" s="190" t="s">
        <v>1003</v>
      </c>
      <c r="BJ51" s="190" t="s">
        <v>1003</v>
      </c>
      <c r="BK51" s="190" t="s">
        <v>1003</v>
      </c>
      <c r="BL51" s="190" t="s">
        <v>1003</v>
      </c>
      <c r="BM51" s="190" t="s">
        <v>1003</v>
      </c>
      <c r="BN51" s="190" t="s">
        <v>1003</v>
      </c>
      <c r="BO51" s="190" t="s">
        <v>1003</v>
      </c>
      <c r="BP51" s="190" t="s">
        <v>1003</v>
      </c>
      <c r="BQ51" s="190" t="s">
        <v>1003</v>
      </c>
      <c r="BR51" s="190" t="s">
        <v>1003</v>
      </c>
      <c r="BS51" s="190" t="s">
        <v>1003</v>
      </c>
      <c r="BT51" s="190" t="s">
        <v>1003</v>
      </c>
      <c r="BU51" s="190" t="s">
        <v>1003</v>
      </c>
      <c r="BV51" s="190" t="s">
        <v>1003</v>
      </c>
      <c r="BW51" s="190" t="s">
        <v>1003</v>
      </c>
      <c r="BX51" s="190" t="s">
        <v>1003</v>
      </c>
      <c r="BY51" s="190" t="s">
        <v>1003</v>
      </c>
      <c r="BZ51" s="190" t="s">
        <v>1003</v>
      </c>
      <c r="CA51" s="190" t="s">
        <v>1003</v>
      </c>
      <c r="CB51" s="190" t="s">
        <v>1003</v>
      </c>
      <c r="CC51" s="190" t="s">
        <v>1003</v>
      </c>
      <c r="CD51" s="190" t="s">
        <v>1003</v>
      </c>
      <c r="CE51" s="190" t="s">
        <v>1003</v>
      </c>
      <c r="CF51" s="190" t="s">
        <v>1003</v>
      </c>
      <c r="CG51" s="190" t="s">
        <v>1003</v>
      </c>
      <c r="CH51" s="190" t="s">
        <v>1003</v>
      </c>
      <c r="CI51" s="190" t="s">
        <v>1003</v>
      </c>
      <c r="CJ51" s="190" t="s">
        <v>1003</v>
      </c>
      <c r="CK51" s="190" t="s">
        <v>1003</v>
      </c>
      <c r="CL51" s="190" t="s">
        <v>1003</v>
      </c>
      <c r="CM51" s="190" t="s">
        <v>1003</v>
      </c>
      <c r="CN51" s="190" t="s">
        <v>1003</v>
      </c>
      <c r="CO51" s="190" t="s">
        <v>1003</v>
      </c>
      <c r="CP51" s="190" t="s">
        <v>1003</v>
      </c>
      <c r="CQ51" s="190" t="s">
        <v>1003</v>
      </c>
      <c r="CR51" s="190"/>
      <c r="CS51" s="190" t="s">
        <v>993</v>
      </c>
      <c r="CT51" s="190" t="s">
        <v>1010</v>
      </c>
      <c r="CU51" s="190" t="s">
        <v>1001</v>
      </c>
      <c r="CV51" s="190" t="s">
        <v>1010</v>
      </c>
      <c r="CW51" s="190"/>
      <c r="CX51" s="190" t="s">
        <v>1010</v>
      </c>
      <c r="CY51" s="190" t="s">
        <v>1002</v>
      </c>
      <c r="CZ51" s="190" t="s">
        <v>1002</v>
      </c>
      <c r="DA51" s="190" t="s">
        <v>993</v>
      </c>
      <c r="DB51" s="190" t="s">
        <v>1005</v>
      </c>
      <c r="DC51" s="190" t="s">
        <v>1002</v>
      </c>
      <c r="DD51" s="190" t="s">
        <v>1004</v>
      </c>
      <c r="DE51" s="190"/>
      <c r="DF51" s="174">
        <v>50</v>
      </c>
      <c r="DH51" s="182" t="s">
        <v>4173</v>
      </c>
      <c r="DI51" s="182" t="s">
        <v>4173</v>
      </c>
      <c r="DJ51" s="182"/>
      <c r="DK51" s="182">
        <v>4</v>
      </c>
      <c r="DL51" s="182">
        <v>-5</v>
      </c>
      <c r="DM51" s="182">
        <v>2</v>
      </c>
      <c r="DN51" s="182"/>
      <c r="DO51" s="182"/>
      <c r="DP51" s="182">
        <v>2</v>
      </c>
      <c r="DQ51" s="182">
        <v>2</v>
      </c>
      <c r="DR51" s="182">
        <v>2</v>
      </c>
      <c r="DS51" s="182">
        <v>2</v>
      </c>
      <c r="DT51" s="182"/>
      <c r="DU51" s="182"/>
      <c r="DV51" s="182"/>
      <c r="DW51" s="182">
        <v>10</v>
      </c>
      <c r="DX51" s="182">
        <v>100</v>
      </c>
      <c r="DY51" s="182">
        <v>3</v>
      </c>
      <c r="DZ51" s="182">
        <v>2</v>
      </c>
      <c r="EA51" s="182">
        <v>1.5</v>
      </c>
      <c r="EB51" s="182">
        <f>DZ51*10</f>
        <v>20</v>
      </c>
      <c r="EC51" s="182"/>
      <c r="ED51" s="174" t="s">
        <v>4173</v>
      </c>
      <c r="EE51" s="174">
        <v>7654</v>
      </c>
      <c r="EF51" s="174">
        <v>6543</v>
      </c>
      <c r="EG51" s="174">
        <v>6543</v>
      </c>
      <c r="EH51" s="174">
        <v>6543</v>
      </c>
      <c r="EI51" s="174">
        <v>6543</v>
      </c>
      <c r="EJ51" s="174">
        <v>6543</v>
      </c>
      <c r="EK51" s="174">
        <v>6543</v>
      </c>
      <c r="EL51" s="174">
        <v>6311</v>
      </c>
      <c r="EO51" s="174" t="s">
        <v>938</v>
      </c>
      <c r="EP51" s="174" t="s">
        <v>939</v>
      </c>
      <c r="EQ51" s="185" t="s">
        <v>940</v>
      </c>
      <c r="ER51" s="174" t="s">
        <v>941</v>
      </c>
      <c r="ES51" s="174" t="s">
        <v>942</v>
      </c>
      <c r="ET51" s="185" t="s">
        <v>943</v>
      </c>
      <c r="EU51" s="185" t="s">
        <v>944</v>
      </c>
      <c r="EV51" s="185" t="s">
        <v>945</v>
      </c>
      <c r="EW51" s="185" t="s">
        <v>946</v>
      </c>
      <c r="EX51" s="185" t="s">
        <v>894</v>
      </c>
      <c r="EY51" s="174" t="s">
        <v>937</v>
      </c>
      <c r="EZ51" s="174" t="s">
        <v>947</v>
      </c>
      <c r="FA51" s="174" t="s">
        <v>948</v>
      </c>
      <c r="FB51" s="185" t="s">
        <v>895</v>
      </c>
      <c r="FC51" s="185" t="s">
        <v>4171</v>
      </c>
      <c r="FD51" s="185" t="s">
        <v>4173</v>
      </c>
      <c r="FE51" s="185" t="s">
        <v>4172</v>
      </c>
      <c r="FF51" s="185" t="s">
        <v>899</v>
      </c>
      <c r="FG51" s="185" t="s">
        <v>949</v>
      </c>
      <c r="FH51" s="185" t="s">
        <v>178</v>
      </c>
      <c r="FI51" s="185" t="s">
        <v>950</v>
      </c>
      <c r="FJ51" s="185" t="s">
        <v>951</v>
      </c>
      <c r="FK51" s="185" t="s">
        <v>952</v>
      </c>
      <c r="FL51" s="185" t="s">
        <v>953</v>
      </c>
      <c r="FM51" s="185" t="s">
        <v>954</v>
      </c>
      <c r="FN51" s="185" t="s">
        <v>955</v>
      </c>
      <c r="FO51" s="185" t="s">
        <v>956</v>
      </c>
      <c r="FP51" s="174" t="s">
        <v>957</v>
      </c>
      <c r="FQ51" s="185" t="s">
        <v>958</v>
      </c>
      <c r="FR51" s="185" t="s">
        <v>959</v>
      </c>
      <c r="FS51" s="185" t="s">
        <v>960</v>
      </c>
      <c r="FT51" s="185" t="s">
        <v>961</v>
      </c>
      <c r="FU51" s="185" t="s">
        <v>962</v>
      </c>
      <c r="FV51" s="185" t="s">
        <v>906</v>
      </c>
      <c r="FW51" s="185" t="s">
        <v>963</v>
      </c>
      <c r="FX51" s="185" t="s">
        <v>964</v>
      </c>
      <c r="FY51" s="185" t="s">
        <v>965</v>
      </c>
      <c r="FZ51" s="185" t="s">
        <v>966</v>
      </c>
      <c r="GA51" s="185" t="s">
        <v>967</v>
      </c>
      <c r="GB51" s="185" t="s">
        <v>968</v>
      </c>
      <c r="GC51" s="185" t="s">
        <v>969</v>
      </c>
      <c r="GD51" s="174" t="s">
        <v>970</v>
      </c>
      <c r="GE51" s="185" t="s">
        <v>971</v>
      </c>
      <c r="GF51" s="185" t="s">
        <v>972</v>
      </c>
      <c r="GG51" s="185" t="s">
        <v>973</v>
      </c>
      <c r="GH51" s="185" t="s">
        <v>974</v>
      </c>
      <c r="GI51" s="185" t="s">
        <v>908</v>
      </c>
      <c r="GJ51" s="185" t="s">
        <v>909</v>
      </c>
      <c r="GK51" s="185" t="s">
        <v>910</v>
      </c>
      <c r="GL51" s="185" t="s">
        <v>911</v>
      </c>
      <c r="GM51" s="185" t="s">
        <v>975</v>
      </c>
      <c r="GN51" s="185" t="s">
        <v>913</v>
      </c>
      <c r="GO51" s="185" t="s">
        <v>914</v>
      </c>
      <c r="GP51" s="185" t="s">
        <v>915</v>
      </c>
      <c r="GQ51" s="185" t="s">
        <v>976</v>
      </c>
      <c r="GR51" s="174" t="s">
        <v>977</v>
      </c>
      <c r="GS51" s="174" t="s">
        <v>978</v>
      </c>
      <c r="GT51" s="174" t="s">
        <v>979</v>
      </c>
      <c r="GU51" s="174" t="s">
        <v>980</v>
      </c>
      <c r="GV51" s="174" t="s">
        <v>981</v>
      </c>
      <c r="GW51" s="174" t="s">
        <v>982</v>
      </c>
      <c r="GX51" s="174" t="s">
        <v>983</v>
      </c>
      <c r="GY51" s="174" t="s">
        <v>984</v>
      </c>
      <c r="GZ51" s="174" t="s">
        <v>985</v>
      </c>
      <c r="HA51" s="174">
        <v>1</v>
      </c>
      <c r="HB51" s="197">
        <v>48</v>
      </c>
      <c r="HC51" s="183">
        <v>44</v>
      </c>
      <c r="HD51" s="183">
        <v>69</v>
      </c>
      <c r="HE51" s="194">
        <v>25</v>
      </c>
      <c r="HF51" s="183">
        <v>113</v>
      </c>
      <c r="HG51" s="193" t="e">
        <f t="shared" si="3"/>
        <v>#N/A</v>
      </c>
      <c r="HH51" s="192" t="e">
        <f t="shared" si="4"/>
        <v>#N/A</v>
      </c>
      <c r="HI51" s="198">
        <v>25</v>
      </c>
      <c r="HJ51" s="185">
        <v>114</v>
      </c>
      <c r="HK51" s="174">
        <v>49</v>
      </c>
      <c r="HL51" s="174">
        <v>277</v>
      </c>
      <c r="HM51" s="174">
        <v>256</v>
      </c>
      <c r="HN51" s="174">
        <v>217</v>
      </c>
      <c r="HO51" s="174">
        <v>169</v>
      </c>
      <c r="HP51" s="174">
        <v>159</v>
      </c>
      <c r="HQ51" s="174">
        <v>149</v>
      </c>
      <c r="HR51" s="174">
        <v>139</v>
      </c>
      <c r="HS51" s="174">
        <v>217</v>
      </c>
      <c r="HT51" s="174">
        <v>207</v>
      </c>
      <c r="HU51" s="174">
        <v>149</v>
      </c>
      <c r="HV51" s="174">
        <v>168</v>
      </c>
      <c r="HW51" s="174">
        <v>139</v>
      </c>
      <c r="HX51" s="174">
        <v>129</v>
      </c>
      <c r="HY51" s="174">
        <v>119</v>
      </c>
      <c r="HZ51" s="174">
        <v>109</v>
      </c>
      <c r="IA51" s="174">
        <v>158</v>
      </c>
      <c r="IB51" s="174">
        <v>138</v>
      </c>
      <c r="IC51" s="174">
        <v>109</v>
      </c>
      <c r="ID51" s="174">
        <v>79</v>
      </c>
      <c r="IE51" s="174">
        <v>59</v>
      </c>
      <c r="IF51" s="174">
        <v>51</v>
      </c>
      <c r="IM51" s="174">
        <v>1950000</v>
      </c>
      <c r="IN51" s="174">
        <v>49</v>
      </c>
    </row>
    <row r="52" spans="1:250" ht="13.35" customHeight="1" thickBot="1" x14ac:dyDescent="0.25">
      <c r="A52" s="183">
        <f t="shared" si="1"/>
        <v>51</v>
      </c>
      <c r="B52" s="183">
        <v>0</v>
      </c>
      <c r="C52" s="183">
        <f t="shared" si="2"/>
        <v>51</v>
      </c>
      <c r="E52" s="189" t="s">
        <v>726</v>
      </c>
      <c r="F52" s="190" t="s">
        <v>991</v>
      </c>
      <c r="G52" s="190" t="s">
        <v>1051</v>
      </c>
      <c r="H52" s="190" t="s">
        <v>1051</v>
      </c>
      <c r="I52" s="190" t="s">
        <v>1002</v>
      </c>
      <c r="J52" s="190" t="s">
        <v>1001</v>
      </c>
      <c r="K52" s="190" t="s">
        <v>1042</v>
      </c>
      <c r="L52" s="190" t="s">
        <v>1042</v>
      </c>
      <c r="M52" s="190" t="s">
        <v>1003</v>
      </c>
      <c r="N52" s="190" t="s">
        <v>1003</v>
      </c>
      <c r="O52" s="190" t="s">
        <v>988</v>
      </c>
      <c r="P52" s="190" t="s">
        <v>988</v>
      </c>
      <c r="Q52" s="190" t="s">
        <v>1042</v>
      </c>
      <c r="R52" s="190" t="s">
        <v>1042</v>
      </c>
      <c r="S52" s="190" t="s">
        <v>1042</v>
      </c>
      <c r="T52" s="190" t="s">
        <v>1005</v>
      </c>
      <c r="U52" s="190" t="s">
        <v>1051</v>
      </c>
      <c r="V52" s="190" t="s">
        <v>988</v>
      </c>
      <c r="W52" s="190" t="s">
        <v>1002</v>
      </c>
      <c r="X52" s="190" t="s">
        <v>1002</v>
      </c>
      <c r="Y52" s="190" t="s">
        <v>1005</v>
      </c>
      <c r="Z52" s="190"/>
      <c r="AA52" s="190" t="s">
        <v>1042</v>
      </c>
      <c r="AB52" s="190" t="s">
        <v>1042</v>
      </c>
      <c r="AC52" s="190" t="s">
        <v>1002</v>
      </c>
      <c r="AD52" s="190" t="s">
        <v>1008</v>
      </c>
      <c r="AE52" s="190"/>
      <c r="AF52" s="190" t="s">
        <v>1042</v>
      </c>
      <c r="AG52" s="190" t="s">
        <v>1042</v>
      </c>
      <c r="AH52" s="190" t="s">
        <v>1002</v>
      </c>
      <c r="AI52" s="190"/>
      <c r="AJ52" s="190" t="s">
        <v>1007</v>
      </c>
      <c r="AK52" s="190" t="s">
        <v>1042</v>
      </c>
      <c r="AL52" s="190" t="s">
        <v>1030</v>
      </c>
      <c r="AM52" s="190" t="s">
        <v>1042</v>
      </c>
      <c r="AN52" s="190"/>
      <c r="AO52" s="190" t="s">
        <v>1042</v>
      </c>
      <c r="AP52" s="190" t="s">
        <v>1042</v>
      </c>
      <c r="AQ52" s="190" t="s">
        <v>1119</v>
      </c>
      <c r="AR52" s="190"/>
      <c r="AS52" s="190" t="s">
        <v>930</v>
      </c>
      <c r="AT52" s="190" t="s">
        <v>930</v>
      </c>
      <c r="AU52" s="190" t="s">
        <v>930</v>
      </c>
      <c r="AV52" s="190" t="s">
        <v>930</v>
      </c>
      <c r="AW52" s="190" t="s">
        <v>930</v>
      </c>
      <c r="AX52" s="190" t="s">
        <v>930</v>
      </c>
      <c r="AY52" s="190" t="s">
        <v>930</v>
      </c>
      <c r="AZ52" s="190" t="s">
        <v>930</v>
      </c>
      <c r="BA52" s="190" t="s">
        <v>930</v>
      </c>
      <c r="BB52" s="190" t="s">
        <v>930</v>
      </c>
      <c r="BC52" s="190" t="s">
        <v>930</v>
      </c>
      <c r="BD52" s="190" t="s">
        <v>930</v>
      </c>
      <c r="BE52" s="190" t="s">
        <v>930</v>
      </c>
      <c r="BF52" s="190" t="s">
        <v>930</v>
      </c>
      <c r="BG52" s="190" t="s">
        <v>930</v>
      </c>
      <c r="BH52" s="190" t="s">
        <v>930</v>
      </c>
      <c r="BI52" s="190" t="s">
        <v>930</v>
      </c>
      <c r="BJ52" s="190" t="s">
        <v>930</v>
      </c>
      <c r="BK52" s="190" t="s">
        <v>930</v>
      </c>
      <c r="BL52" s="190" t="s">
        <v>930</v>
      </c>
      <c r="BM52" s="190" t="s">
        <v>930</v>
      </c>
      <c r="BN52" s="190" t="s">
        <v>930</v>
      </c>
      <c r="BO52" s="190" t="s">
        <v>930</v>
      </c>
      <c r="BP52" s="190" t="s">
        <v>930</v>
      </c>
      <c r="BQ52" s="190" t="s">
        <v>930</v>
      </c>
      <c r="BR52" s="190" t="s">
        <v>930</v>
      </c>
      <c r="BS52" s="190" t="s">
        <v>930</v>
      </c>
      <c r="BT52" s="190" t="s">
        <v>930</v>
      </c>
      <c r="BU52" s="190" t="s">
        <v>930</v>
      </c>
      <c r="BV52" s="190" t="s">
        <v>930</v>
      </c>
      <c r="BW52" s="190" t="s">
        <v>930</v>
      </c>
      <c r="BX52" s="190" t="s">
        <v>930</v>
      </c>
      <c r="BY52" s="190" t="s">
        <v>930</v>
      </c>
      <c r="BZ52" s="190" t="s">
        <v>930</v>
      </c>
      <c r="CA52" s="190" t="s">
        <v>930</v>
      </c>
      <c r="CB52" s="190" t="s">
        <v>930</v>
      </c>
      <c r="CC52" s="190" t="s">
        <v>930</v>
      </c>
      <c r="CD52" s="190" t="s">
        <v>930</v>
      </c>
      <c r="CE52" s="190" t="s">
        <v>930</v>
      </c>
      <c r="CF52" s="190" t="s">
        <v>930</v>
      </c>
      <c r="CG52" s="190" t="s">
        <v>930</v>
      </c>
      <c r="CH52" s="190" t="s">
        <v>930</v>
      </c>
      <c r="CI52" s="190" t="s">
        <v>930</v>
      </c>
      <c r="CJ52" s="190" t="s">
        <v>930</v>
      </c>
      <c r="CK52" s="190" t="s">
        <v>930</v>
      </c>
      <c r="CL52" s="190" t="s">
        <v>930</v>
      </c>
      <c r="CM52" s="190" t="s">
        <v>930</v>
      </c>
      <c r="CN52" s="190" t="s">
        <v>930</v>
      </c>
      <c r="CO52" s="190" t="s">
        <v>930</v>
      </c>
      <c r="CP52" s="190" t="s">
        <v>930</v>
      </c>
      <c r="CQ52" s="190" t="s">
        <v>930</v>
      </c>
      <c r="CR52" s="190"/>
      <c r="CS52" s="190" t="s">
        <v>991</v>
      </c>
      <c r="CT52" s="190" t="s">
        <v>1007</v>
      </c>
      <c r="CU52" s="190" t="s">
        <v>1051</v>
      </c>
      <c r="CV52" s="190" t="s">
        <v>1010</v>
      </c>
      <c r="CW52" s="190"/>
      <c r="CX52" s="190" t="s">
        <v>1007</v>
      </c>
      <c r="CY52" s="190" t="s">
        <v>1003</v>
      </c>
      <c r="CZ52" s="190" t="s">
        <v>1003</v>
      </c>
      <c r="DA52" s="190" t="s">
        <v>991</v>
      </c>
      <c r="DB52" s="190" t="s">
        <v>987</v>
      </c>
      <c r="DC52" s="190" t="s">
        <v>1003</v>
      </c>
      <c r="DD52" s="190" t="s">
        <v>1003</v>
      </c>
      <c r="DE52" s="190"/>
      <c r="DF52" s="174">
        <v>51</v>
      </c>
      <c r="DH52" s="182" t="s">
        <v>4172</v>
      </c>
      <c r="DI52" s="182" t="s">
        <v>4172</v>
      </c>
      <c r="DJ52" s="182">
        <v>2</v>
      </c>
      <c r="DK52" s="182">
        <v>4</v>
      </c>
      <c r="DL52" s="182">
        <v>-5</v>
      </c>
      <c r="DM52" s="182">
        <v>2</v>
      </c>
      <c r="DN52" s="182"/>
      <c r="DO52" s="182"/>
      <c r="DP52" s="182">
        <v>4</v>
      </c>
      <c r="DQ52" s="182">
        <v>4</v>
      </c>
      <c r="DR52" s="182">
        <v>2</v>
      </c>
      <c r="DS52" s="182">
        <v>2</v>
      </c>
      <c r="DT52" s="182"/>
      <c r="DU52" s="182"/>
      <c r="DV52" s="182"/>
      <c r="DW52" s="182">
        <v>10</v>
      </c>
      <c r="DX52" s="182">
        <v>100</v>
      </c>
      <c r="DY52" s="182">
        <v>2</v>
      </c>
      <c r="DZ52" s="182">
        <v>2</v>
      </c>
      <c r="EA52" s="182">
        <v>2</v>
      </c>
      <c r="EB52" s="182">
        <v>15</v>
      </c>
      <c r="EC52" s="182"/>
      <c r="ED52" s="174" t="s">
        <v>4172</v>
      </c>
      <c r="EE52" s="174">
        <v>7654</v>
      </c>
      <c r="EF52" s="174">
        <v>6543</v>
      </c>
      <c r="EG52" s="174">
        <v>6543</v>
      </c>
      <c r="EH52" s="174">
        <v>6543</v>
      </c>
      <c r="EI52" s="174">
        <v>6543</v>
      </c>
      <c r="EJ52" s="174">
        <v>6543</v>
      </c>
      <c r="EK52" s="174">
        <v>6543</v>
      </c>
      <c r="EL52" s="174">
        <v>6321</v>
      </c>
      <c r="EO52" s="174" t="s">
        <v>461</v>
      </c>
      <c r="EP52" s="174" t="s">
        <v>461</v>
      </c>
      <c r="EQ52" s="174" t="s">
        <v>248</v>
      </c>
      <c r="ER52" s="174" t="s">
        <v>1120</v>
      </c>
      <c r="ES52" s="174" t="s">
        <v>1120</v>
      </c>
      <c r="ET52" s="174" t="s">
        <v>248</v>
      </c>
      <c r="EU52" s="174" t="s">
        <v>248</v>
      </c>
      <c r="EV52" s="174" t="s">
        <v>248</v>
      </c>
      <c r="EW52" s="174" t="s">
        <v>536</v>
      </c>
      <c r="EX52" s="174" t="s">
        <v>536</v>
      </c>
      <c r="EY52" s="174" t="s">
        <v>248</v>
      </c>
      <c r="EZ52" s="174" t="s">
        <v>248</v>
      </c>
      <c r="FA52" s="174" t="s">
        <v>248</v>
      </c>
      <c r="FB52" s="174" t="s">
        <v>609</v>
      </c>
      <c r="FC52" s="174" t="s">
        <v>1121</v>
      </c>
      <c r="FD52" s="174" t="s">
        <v>427</v>
      </c>
      <c r="FE52" s="174" t="s">
        <v>629</v>
      </c>
      <c r="FF52" s="174" t="s">
        <v>248</v>
      </c>
      <c r="FG52" s="174" t="s">
        <v>510</v>
      </c>
      <c r="FH52" s="174" t="s">
        <v>1122</v>
      </c>
      <c r="FI52" s="174" t="s">
        <v>1123</v>
      </c>
      <c r="FJ52" s="174" t="s">
        <v>1124</v>
      </c>
      <c r="FK52" s="174" t="s">
        <v>248</v>
      </c>
      <c r="FL52" s="174" t="s">
        <v>452</v>
      </c>
      <c r="FM52" s="174" t="s">
        <v>248</v>
      </c>
      <c r="FN52" s="174" t="s">
        <v>452</v>
      </c>
      <c r="FO52" s="174" t="s">
        <v>458</v>
      </c>
      <c r="FP52" s="174" t="s">
        <v>248</v>
      </c>
      <c r="FQ52" s="174" t="s">
        <v>248</v>
      </c>
      <c r="FR52" s="174" t="s">
        <v>248</v>
      </c>
      <c r="FS52" s="174" t="s">
        <v>1125</v>
      </c>
      <c r="FT52" s="174" t="s">
        <v>1125</v>
      </c>
      <c r="FU52" s="174" t="s">
        <v>1125</v>
      </c>
      <c r="FV52" s="174" t="s">
        <v>540</v>
      </c>
      <c r="FW52" s="174" t="s">
        <v>540</v>
      </c>
      <c r="FX52" s="174" t="s">
        <v>540</v>
      </c>
      <c r="FY52" s="174" t="s">
        <v>540</v>
      </c>
      <c r="FZ52" s="174" t="s">
        <v>510</v>
      </c>
      <c r="GA52" s="174" t="s">
        <v>510</v>
      </c>
      <c r="GB52" s="174" t="s">
        <v>510</v>
      </c>
      <c r="GC52" s="174" t="s">
        <v>510</v>
      </c>
      <c r="GD52" s="174" t="s">
        <v>510</v>
      </c>
      <c r="GE52" s="174" t="s">
        <v>510</v>
      </c>
      <c r="GF52" s="174" t="s">
        <v>510</v>
      </c>
      <c r="GG52" s="174" t="s">
        <v>510</v>
      </c>
      <c r="GH52" s="174" t="s">
        <v>510</v>
      </c>
      <c r="GL52" s="174" t="s">
        <v>1124</v>
      </c>
      <c r="GM52" s="174" t="s">
        <v>1126</v>
      </c>
      <c r="GN52" s="174" t="s">
        <v>436</v>
      </c>
      <c r="GQ52" s="232" t="s">
        <v>4069</v>
      </c>
      <c r="GR52" s="232" t="s">
        <v>4069</v>
      </c>
      <c r="HA52" s="174">
        <v>2</v>
      </c>
      <c r="HB52" s="197">
        <v>49</v>
      </c>
      <c r="HC52" s="183">
        <v>45</v>
      </c>
      <c r="HD52" s="183">
        <v>70</v>
      </c>
      <c r="HE52" s="194">
        <v>25</v>
      </c>
      <c r="HF52" s="183">
        <v>114</v>
      </c>
      <c r="HG52" s="193" t="e">
        <f t="shared" si="3"/>
        <v>#N/A</v>
      </c>
      <c r="HH52" s="192" t="e">
        <f t="shared" si="4"/>
        <v>#N/A</v>
      </c>
      <c r="HI52" s="198">
        <v>25</v>
      </c>
      <c r="HJ52" s="185">
        <v>114.5</v>
      </c>
      <c r="HK52" s="182">
        <v>50</v>
      </c>
      <c r="HL52" s="182">
        <v>280</v>
      </c>
      <c r="HM52" s="182">
        <v>260</v>
      </c>
      <c r="HN52" s="182">
        <v>220</v>
      </c>
      <c r="HO52" s="182">
        <v>170</v>
      </c>
      <c r="HP52" s="182">
        <v>160</v>
      </c>
      <c r="HQ52" s="182">
        <v>150</v>
      </c>
      <c r="HR52" s="182">
        <v>140</v>
      </c>
      <c r="HS52" s="174">
        <v>220</v>
      </c>
      <c r="HT52" s="174">
        <v>210</v>
      </c>
      <c r="HU52" s="182">
        <v>150</v>
      </c>
      <c r="HV52" s="182">
        <v>170</v>
      </c>
      <c r="HW52" s="182">
        <v>140</v>
      </c>
      <c r="HX52" s="182">
        <v>130</v>
      </c>
      <c r="HY52" s="182">
        <v>120</v>
      </c>
      <c r="HZ52" s="182">
        <v>110</v>
      </c>
      <c r="IA52" s="174">
        <v>160</v>
      </c>
      <c r="IB52" s="182">
        <v>140</v>
      </c>
      <c r="IC52" s="182">
        <v>110</v>
      </c>
      <c r="ID52" s="182">
        <v>80</v>
      </c>
      <c r="IE52" s="182">
        <v>60</v>
      </c>
      <c r="IF52" s="182">
        <v>52</v>
      </c>
      <c r="IM52" s="174">
        <v>2000000</v>
      </c>
      <c r="IN52" s="174">
        <v>50</v>
      </c>
    </row>
    <row r="53" spans="1:250" ht="13.35" customHeight="1" thickBot="1" x14ac:dyDescent="0.25">
      <c r="A53" s="183">
        <f t="shared" si="1"/>
        <v>52</v>
      </c>
      <c r="B53" s="183">
        <v>0</v>
      </c>
      <c r="C53" s="183">
        <f t="shared" si="2"/>
        <v>52</v>
      </c>
      <c r="E53" s="189" t="s">
        <v>730</v>
      </c>
      <c r="F53" s="190" t="s">
        <v>1010</v>
      </c>
      <c r="G53" s="190" t="s">
        <v>1005</v>
      </c>
      <c r="H53" s="190" t="s">
        <v>1007</v>
      </c>
      <c r="I53" s="190" t="s">
        <v>988</v>
      </c>
      <c r="J53" s="190" t="s">
        <v>1005</v>
      </c>
      <c r="K53" s="190" t="s">
        <v>1042</v>
      </c>
      <c r="L53" s="190" t="s">
        <v>1042</v>
      </c>
      <c r="M53" s="190" t="s">
        <v>987</v>
      </c>
      <c r="N53" s="190" t="s">
        <v>987</v>
      </c>
      <c r="O53" s="190" t="s">
        <v>1030</v>
      </c>
      <c r="P53" s="190" t="s">
        <v>1030</v>
      </c>
      <c r="Q53" s="190" t="s">
        <v>1042</v>
      </c>
      <c r="R53" s="190" t="s">
        <v>1042</v>
      </c>
      <c r="S53" s="190" t="s">
        <v>1042</v>
      </c>
      <c r="T53" s="190" t="s">
        <v>1002</v>
      </c>
      <c r="U53" s="190" t="s">
        <v>1005</v>
      </c>
      <c r="V53" s="190" t="s">
        <v>988</v>
      </c>
      <c r="W53" s="190" t="s">
        <v>1003</v>
      </c>
      <c r="X53" s="190" t="s">
        <v>1003</v>
      </c>
      <c r="Y53" s="190" t="s">
        <v>1002</v>
      </c>
      <c r="Z53" s="190"/>
      <c r="AA53" s="190" t="s">
        <v>1042</v>
      </c>
      <c r="AB53" s="190" t="s">
        <v>1042</v>
      </c>
      <c r="AC53" s="190" t="s">
        <v>1002</v>
      </c>
      <c r="AD53" s="190" t="s">
        <v>1005</v>
      </c>
      <c r="AE53" s="190"/>
      <c r="AF53" s="190" t="s">
        <v>1042</v>
      </c>
      <c r="AG53" s="190" t="s">
        <v>1042</v>
      </c>
      <c r="AH53" s="190" t="s">
        <v>1003</v>
      </c>
      <c r="AI53" s="190"/>
      <c r="AJ53" s="190" t="s">
        <v>1029</v>
      </c>
      <c r="AK53" s="190" t="s">
        <v>1042</v>
      </c>
      <c r="AL53" s="190" t="s">
        <v>1042</v>
      </c>
      <c r="AM53" s="190" t="s">
        <v>1042</v>
      </c>
      <c r="AN53" s="190"/>
      <c r="AO53" s="190" t="s">
        <v>1042</v>
      </c>
      <c r="AP53" s="190" t="s">
        <v>1042</v>
      </c>
      <c r="AQ53" s="190" t="s">
        <v>1002</v>
      </c>
      <c r="AR53" s="190"/>
      <c r="AS53" s="190" t="s">
        <v>1031</v>
      </c>
      <c r="AT53" s="190" t="s">
        <v>1031</v>
      </c>
      <c r="AU53" s="190" t="s">
        <v>1031</v>
      </c>
      <c r="AV53" s="190" t="s">
        <v>1031</v>
      </c>
      <c r="AW53" s="190" t="s">
        <v>1031</v>
      </c>
      <c r="AX53" s="190" t="s">
        <v>1031</v>
      </c>
      <c r="AY53" s="190" t="s">
        <v>1031</v>
      </c>
      <c r="AZ53" s="190" t="s">
        <v>1031</v>
      </c>
      <c r="BA53" s="190" t="s">
        <v>1031</v>
      </c>
      <c r="BB53" s="190" t="s">
        <v>1031</v>
      </c>
      <c r="BC53" s="190" t="s">
        <v>1031</v>
      </c>
      <c r="BD53" s="190" t="s">
        <v>1031</v>
      </c>
      <c r="BE53" s="190" t="s">
        <v>1031</v>
      </c>
      <c r="BF53" s="190" t="s">
        <v>1031</v>
      </c>
      <c r="BG53" s="190" t="s">
        <v>1031</v>
      </c>
      <c r="BH53" s="190" t="s">
        <v>1031</v>
      </c>
      <c r="BI53" s="190" t="s">
        <v>1031</v>
      </c>
      <c r="BJ53" s="190" t="s">
        <v>1031</v>
      </c>
      <c r="BK53" s="190" t="s">
        <v>1031</v>
      </c>
      <c r="BL53" s="190" t="s">
        <v>1031</v>
      </c>
      <c r="BM53" s="190" t="s">
        <v>1031</v>
      </c>
      <c r="BN53" s="190" t="s">
        <v>1031</v>
      </c>
      <c r="BO53" s="190" t="s">
        <v>1031</v>
      </c>
      <c r="BP53" s="190" t="s">
        <v>1031</v>
      </c>
      <c r="BQ53" s="190" t="s">
        <v>1031</v>
      </c>
      <c r="BR53" s="190" t="s">
        <v>1031</v>
      </c>
      <c r="BS53" s="190" t="s">
        <v>1031</v>
      </c>
      <c r="BT53" s="190" t="s">
        <v>1031</v>
      </c>
      <c r="BU53" s="190" t="s">
        <v>1031</v>
      </c>
      <c r="BV53" s="190" t="s">
        <v>1031</v>
      </c>
      <c r="BW53" s="190" t="s">
        <v>1031</v>
      </c>
      <c r="BX53" s="190" t="s">
        <v>1031</v>
      </c>
      <c r="BY53" s="190" t="s">
        <v>1031</v>
      </c>
      <c r="BZ53" s="190" t="s">
        <v>1031</v>
      </c>
      <c r="CA53" s="190" t="s">
        <v>1031</v>
      </c>
      <c r="CB53" s="190" t="s">
        <v>1031</v>
      </c>
      <c r="CC53" s="190" t="s">
        <v>1031</v>
      </c>
      <c r="CD53" s="190" t="s">
        <v>1031</v>
      </c>
      <c r="CE53" s="190" t="s">
        <v>1031</v>
      </c>
      <c r="CF53" s="190" t="s">
        <v>1031</v>
      </c>
      <c r="CG53" s="190" t="s">
        <v>1031</v>
      </c>
      <c r="CH53" s="190" t="s">
        <v>1031</v>
      </c>
      <c r="CI53" s="190" t="s">
        <v>1031</v>
      </c>
      <c r="CJ53" s="190" t="s">
        <v>1031</v>
      </c>
      <c r="CK53" s="190" t="s">
        <v>1031</v>
      </c>
      <c r="CL53" s="190" t="s">
        <v>1031</v>
      </c>
      <c r="CM53" s="190" t="s">
        <v>1031</v>
      </c>
      <c r="CN53" s="190" t="s">
        <v>1031</v>
      </c>
      <c r="CO53" s="190" t="s">
        <v>1031</v>
      </c>
      <c r="CP53" s="190" t="s">
        <v>1031</v>
      </c>
      <c r="CQ53" s="190" t="s">
        <v>1031</v>
      </c>
      <c r="CR53" s="190"/>
      <c r="CS53" s="190" t="s">
        <v>1051</v>
      </c>
      <c r="CT53" s="190" t="s">
        <v>1007</v>
      </c>
      <c r="CU53" s="190" t="s">
        <v>1004</v>
      </c>
      <c r="CV53" s="190" t="s">
        <v>1006</v>
      </c>
      <c r="CW53" s="190"/>
      <c r="CX53" s="190" t="s">
        <v>1005</v>
      </c>
      <c r="CY53" s="190" t="s">
        <v>987</v>
      </c>
      <c r="CZ53" s="190" t="s">
        <v>987</v>
      </c>
      <c r="DA53" s="190" t="s">
        <v>1051</v>
      </c>
      <c r="DB53" s="190" t="s">
        <v>1031</v>
      </c>
      <c r="DC53" s="190" t="s">
        <v>987</v>
      </c>
      <c r="DD53" s="190" t="s">
        <v>1031</v>
      </c>
      <c r="DE53" s="190"/>
      <c r="DF53" s="174">
        <v>52</v>
      </c>
      <c r="DH53" s="174" t="s">
        <v>1011</v>
      </c>
      <c r="DI53" s="174" t="s">
        <v>979</v>
      </c>
      <c r="DJ53" s="174">
        <v>16</v>
      </c>
      <c r="DK53" s="174">
        <v>-4</v>
      </c>
      <c r="DL53" s="174">
        <v>-4</v>
      </c>
      <c r="DM53" s="174">
        <v>-4</v>
      </c>
      <c r="DN53" s="174">
        <v>-6</v>
      </c>
      <c r="DO53" s="174">
        <v>16</v>
      </c>
      <c r="DP53" s="174">
        <v>-4</v>
      </c>
      <c r="DQ53" s="174">
        <v>-4</v>
      </c>
      <c r="DR53" s="174">
        <v>-4</v>
      </c>
      <c r="DS53" s="174">
        <v>-6</v>
      </c>
      <c r="DW53" s="174">
        <v>30</v>
      </c>
      <c r="DX53" s="174">
        <v>10</v>
      </c>
      <c r="DY53" s="174">
        <v>1</v>
      </c>
      <c r="DZ53" s="174">
        <v>2</v>
      </c>
      <c r="EA53" s="174">
        <v>0.5</v>
      </c>
      <c r="EB53" s="174">
        <f>DZ53*10</f>
        <v>20</v>
      </c>
      <c r="ED53" s="174" t="s">
        <v>979</v>
      </c>
      <c r="EE53" s="174">
        <v>2111</v>
      </c>
      <c r="EF53" s="174">
        <v>2111</v>
      </c>
      <c r="EG53" s="174">
        <v>2111</v>
      </c>
      <c r="EH53" s="174">
        <v>2111</v>
      </c>
      <c r="EI53" s="174">
        <v>2111</v>
      </c>
      <c r="EJ53" s="174">
        <v>2111</v>
      </c>
      <c r="EK53" s="174">
        <v>2111</v>
      </c>
      <c r="EL53" s="174">
        <v>9853</v>
      </c>
      <c r="EO53" s="174" t="s">
        <v>1127</v>
      </c>
      <c r="EP53" s="174" t="s">
        <v>1127</v>
      </c>
      <c r="EW53" s="174" t="s">
        <v>685</v>
      </c>
      <c r="EX53" s="174" t="s">
        <v>448</v>
      </c>
      <c r="FB53" s="174" t="s">
        <v>1128</v>
      </c>
      <c r="FD53" s="174" t="s">
        <v>1129</v>
      </c>
      <c r="FE53" s="174" t="s">
        <v>553</v>
      </c>
      <c r="FG53" s="174" t="s">
        <v>1130</v>
      </c>
      <c r="FO53" s="174" t="s">
        <v>1124</v>
      </c>
      <c r="FS53" s="174" t="s">
        <v>1131</v>
      </c>
      <c r="FT53" s="174" t="s">
        <v>1131</v>
      </c>
      <c r="FU53" s="174" t="s">
        <v>1131</v>
      </c>
      <c r="FV53" s="174" t="s">
        <v>1132</v>
      </c>
      <c r="FW53" s="174" t="s">
        <v>1132</v>
      </c>
      <c r="FX53" s="174" t="s">
        <v>1132</v>
      </c>
      <c r="FY53" s="174" t="s">
        <v>1132</v>
      </c>
      <c r="FZ53" s="174" t="s">
        <v>1130</v>
      </c>
      <c r="GA53" s="174" t="s">
        <v>1130</v>
      </c>
      <c r="GB53" s="174" t="s">
        <v>1130</v>
      </c>
      <c r="GC53" s="174" t="s">
        <v>1133</v>
      </c>
      <c r="GD53" s="174" t="s">
        <v>1130</v>
      </c>
      <c r="GE53" s="174" t="s">
        <v>1130</v>
      </c>
      <c r="GF53" s="174" t="s">
        <v>1130</v>
      </c>
      <c r="GG53" s="174" t="s">
        <v>1130</v>
      </c>
      <c r="GH53" s="174" t="s">
        <v>1130</v>
      </c>
      <c r="GL53" s="174" t="s">
        <v>491</v>
      </c>
      <c r="GM53" s="174" t="s">
        <v>560</v>
      </c>
      <c r="GN53" s="174" t="s">
        <v>1134</v>
      </c>
      <c r="GQ53" s="232" t="s">
        <v>4070</v>
      </c>
      <c r="GR53" s="232" t="s">
        <v>550</v>
      </c>
      <c r="HA53" s="174">
        <v>3</v>
      </c>
      <c r="HB53" s="197">
        <v>50</v>
      </c>
      <c r="HC53" s="183">
        <v>45</v>
      </c>
      <c r="HD53" s="237">
        <v>70</v>
      </c>
      <c r="HE53" s="194">
        <v>25</v>
      </c>
      <c r="HF53" s="183">
        <v>115</v>
      </c>
      <c r="HG53" s="193" t="e">
        <f t="shared" si="3"/>
        <v>#N/A</v>
      </c>
      <c r="HH53" s="192" t="e">
        <f t="shared" si="4"/>
        <v>#N/A</v>
      </c>
      <c r="HI53" s="198">
        <v>25</v>
      </c>
      <c r="HJ53" s="185">
        <v>115</v>
      </c>
      <c r="HK53" s="174">
        <v>51</v>
      </c>
      <c r="HL53" s="174">
        <v>283</v>
      </c>
      <c r="HM53" s="174">
        <v>264</v>
      </c>
      <c r="HN53" s="174">
        <v>223</v>
      </c>
      <c r="HO53" s="174">
        <v>171</v>
      </c>
      <c r="HP53" s="174">
        <v>161</v>
      </c>
      <c r="HQ53" s="174">
        <v>151</v>
      </c>
      <c r="HR53" s="174">
        <v>141</v>
      </c>
      <c r="HS53" s="174">
        <v>223</v>
      </c>
      <c r="HT53" s="174">
        <v>213</v>
      </c>
      <c r="HU53" s="174">
        <v>151</v>
      </c>
      <c r="HV53" s="174">
        <v>172</v>
      </c>
      <c r="HW53" s="174">
        <v>141</v>
      </c>
      <c r="HX53" s="174">
        <v>131</v>
      </c>
      <c r="HY53" s="174">
        <v>121</v>
      </c>
      <c r="HZ53" s="174">
        <v>111</v>
      </c>
      <c r="IA53" s="174">
        <v>162</v>
      </c>
      <c r="IB53" s="174">
        <v>142</v>
      </c>
      <c r="IC53" s="174">
        <v>111</v>
      </c>
      <c r="ID53" s="174">
        <v>81</v>
      </c>
      <c r="IE53" s="174">
        <v>61</v>
      </c>
      <c r="IF53" s="174">
        <v>53</v>
      </c>
      <c r="IM53" s="174">
        <v>2050000</v>
      </c>
      <c r="IN53" s="174">
        <v>51</v>
      </c>
    </row>
    <row r="54" spans="1:250" ht="13.35" customHeight="1" thickBot="1" x14ac:dyDescent="0.25">
      <c r="A54" s="183">
        <f t="shared" si="1"/>
        <v>53</v>
      </c>
      <c r="B54" s="183">
        <v>0</v>
      </c>
      <c r="C54" s="183">
        <f t="shared" si="2"/>
        <v>53</v>
      </c>
      <c r="E54" s="189" t="s">
        <v>734</v>
      </c>
      <c r="F54" s="190" t="s">
        <v>1010</v>
      </c>
      <c r="G54" s="190" t="s">
        <v>1005</v>
      </c>
      <c r="H54" s="190" t="s">
        <v>1007</v>
      </c>
      <c r="I54" s="190" t="s">
        <v>988</v>
      </c>
      <c r="J54" s="190" t="s">
        <v>1004</v>
      </c>
      <c r="K54" s="190" t="s">
        <v>1042</v>
      </c>
      <c r="L54" s="190" t="s">
        <v>1042</v>
      </c>
      <c r="M54" s="190" t="s">
        <v>987</v>
      </c>
      <c r="N54" s="190" t="s">
        <v>987</v>
      </c>
      <c r="O54" s="190" t="s">
        <v>1042</v>
      </c>
      <c r="P54" s="190" t="s">
        <v>1042</v>
      </c>
      <c r="Q54" s="190" t="s">
        <v>1042</v>
      </c>
      <c r="R54" s="190" t="s">
        <v>1042</v>
      </c>
      <c r="S54" s="190" t="s">
        <v>1042</v>
      </c>
      <c r="T54" s="190" t="s">
        <v>1002</v>
      </c>
      <c r="U54" s="190" t="s">
        <v>1005</v>
      </c>
      <c r="V54" s="190" t="s">
        <v>988</v>
      </c>
      <c r="W54" s="190" t="s">
        <v>988</v>
      </c>
      <c r="X54" s="190" t="s">
        <v>1003</v>
      </c>
      <c r="Y54" s="190" t="s">
        <v>1003</v>
      </c>
      <c r="Z54" s="190"/>
      <c r="AA54" s="190" t="s">
        <v>1042</v>
      </c>
      <c r="AB54" s="190" t="s">
        <v>1042</v>
      </c>
      <c r="AC54" s="190" t="s">
        <v>988</v>
      </c>
      <c r="AD54" s="190" t="s">
        <v>1002</v>
      </c>
      <c r="AE54" s="190"/>
      <c r="AF54" s="190" t="s">
        <v>1042</v>
      </c>
      <c r="AG54" s="190" t="s">
        <v>1042</v>
      </c>
      <c r="AH54" s="190" t="s">
        <v>988</v>
      </c>
      <c r="AI54" s="190"/>
      <c r="AJ54" s="190" t="s">
        <v>1005</v>
      </c>
      <c r="AK54" s="190" t="s">
        <v>1042</v>
      </c>
      <c r="AL54" s="190" t="s">
        <v>1042</v>
      </c>
      <c r="AM54" s="190" t="s">
        <v>1042</v>
      </c>
      <c r="AN54" s="190"/>
      <c r="AO54" s="190" t="s">
        <v>1042</v>
      </c>
      <c r="AP54" s="190" t="s">
        <v>1042</v>
      </c>
      <c r="AQ54" s="190" t="s">
        <v>1002</v>
      </c>
      <c r="AR54" s="190"/>
      <c r="AS54" s="190" t="s">
        <v>1031</v>
      </c>
      <c r="AT54" s="190" t="s">
        <v>1031</v>
      </c>
      <c r="AU54" s="190" t="s">
        <v>1031</v>
      </c>
      <c r="AV54" s="190" t="s">
        <v>1031</v>
      </c>
      <c r="AW54" s="190" t="s">
        <v>1031</v>
      </c>
      <c r="AX54" s="190" t="s">
        <v>1031</v>
      </c>
      <c r="AY54" s="190" t="s">
        <v>1031</v>
      </c>
      <c r="AZ54" s="190" t="s">
        <v>1031</v>
      </c>
      <c r="BA54" s="190" t="s">
        <v>1031</v>
      </c>
      <c r="BB54" s="190" t="s">
        <v>1031</v>
      </c>
      <c r="BC54" s="190" t="s">
        <v>1031</v>
      </c>
      <c r="BD54" s="190" t="s">
        <v>1031</v>
      </c>
      <c r="BE54" s="190" t="s">
        <v>1031</v>
      </c>
      <c r="BF54" s="190" t="s">
        <v>1031</v>
      </c>
      <c r="BG54" s="190" t="s">
        <v>1031</v>
      </c>
      <c r="BH54" s="190" t="s">
        <v>1031</v>
      </c>
      <c r="BI54" s="190" t="s">
        <v>1031</v>
      </c>
      <c r="BJ54" s="190" t="s">
        <v>1031</v>
      </c>
      <c r="BK54" s="190" t="s">
        <v>1031</v>
      </c>
      <c r="BL54" s="190" t="s">
        <v>1031</v>
      </c>
      <c r="BM54" s="190" t="s">
        <v>1031</v>
      </c>
      <c r="BN54" s="190" t="s">
        <v>1031</v>
      </c>
      <c r="BO54" s="190" t="s">
        <v>1031</v>
      </c>
      <c r="BP54" s="190" t="s">
        <v>1031</v>
      </c>
      <c r="BQ54" s="190" t="s">
        <v>1031</v>
      </c>
      <c r="BR54" s="190" t="s">
        <v>1031</v>
      </c>
      <c r="BS54" s="190" t="s">
        <v>1031</v>
      </c>
      <c r="BT54" s="190" t="s">
        <v>1031</v>
      </c>
      <c r="BU54" s="190" t="s">
        <v>1031</v>
      </c>
      <c r="BV54" s="190" t="s">
        <v>1031</v>
      </c>
      <c r="BW54" s="190" t="s">
        <v>1031</v>
      </c>
      <c r="BX54" s="190" t="s">
        <v>1031</v>
      </c>
      <c r="BY54" s="190" t="s">
        <v>1031</v>
      </c>
      <c r="BZ54" s="190" t="s">
        <v>1031</v>
      </c>
      <c r="CA54" s="190" t="s">
        <v>1031</v>
      </c>
      <c r="CB54" s="190" t="s">
        <v>1031</v>
      </c>
      <c r="CC54" s="190" t="s">
        <v>1031</v>
      </c>
      <c r="CD54" s="190" t="s">
        <v>1031</v>
      </c>
      <c r="CE54" s="190" t="s">
        <v>1031</v>
      </c>
      <c r="CF54" s="190" t="s">
        <v>1031</v>
      </c>
      <c r="CG54" s="190" t="s">
        <v>1031</v>
      </c>
      <c r="CH54" s="190" t="s">
        <v>1031</v>
      </c>
      <c r="CI54" s="190" t="s">
        <v>1031</v>
      </c>
      <c r="CJ54" s="190" t="s">
        <v>1031</v>
      </c>
      <c r="CK54" s="190" t="s">
        <v>1031</v>
      </c>
      <c r="CL54" s="190" t="s">
        <v>1031</v>
      </c>
      <c r="CM54" s="190" t="s">
        <v>1031</v>
      </c>
      <c r="CN54" s="190" t="s">
        <v>1031</v>
      </c>
      <c r="CO54" s="190" t="s">
        <v>1031</v>
      </c>
      <c r="CP54" s="190" t="s">
        <v>1031</v>
      </c>
      <c r="CQ54" s="190" t="s">
        <v>1031</v>
      </c>
      <c r="CR54" s="190"/>
      <c r="CS54" s="190" t="s">
        <v>1005</v>
      </c>
      <c r="CT54" s="190" t="s">
        <v>1005</v>
      </c>
      <c r="CU54" s="190" t="s">
        <v>1002</v>
      </c>
      <c r="CV54" s="190" t="s">
        <v>1006</v>
      </c>
      <c r="CW54" s="190"/>
      <c r="CX54" s="190" t="s">
        <v>1005</v>
      </c>
      <c r="CY54" s="190" t="s">
        <v>987</v>
      </c>
      <c r="CZ54" s="190" t="s">
        <v>987</v>
      </c>
      <c r="DA54" s="190" t="s">
        <v>1005</v>
      </c>
      <c r="DB54" s="190" t="s">
        <v>1042</v>
      </c>
      <c r="DC54" s="190" t="s">
        <v>987</v>
      </c>
      <c r="DD54" s="190" t="s">
        <v>1042</v>
      </c>
      <c r="DE54" s="190"/>
      <c r="DF54" s="174">
        <v>53</v>
      </c>
      <c r="DH54" s="174" t="s">
        <v>1011</v>
      </c>
      <c r="DI54" s="174" t="s">
        <v>983</v>
      </c>
      <c r="DJ54" s="174">
        <v>12</v>
      </c>
      <c r="DK54" s="174">
        <v>-4</v>
      </c>
      <c r="DL54" s="174">
        <v>-4</v>
      </c>
      <c r="DM54" s="174">
        <v>-4</v>
      </c>
      <c r="DN54" s="174">
        <v>-6</v>
      </c>
      <c r="DO54" s="174">
        <v>12</v>
      </c>
      <c r="DP54" s="174">
        <v>-4</v>
      </c>
      <c r="DQ54" s="174">
        <v>-4</v>
      </c>
      <c r="DR54" s="174">
        <v>-4</v>
      </c>
      <c r="DS54" s="174">
        <v>-6</v>
      </c>
      <c r="DW54" s="174">
        <v>30</v>
      </c>
      <c r="DX54" s="174">
        <v>10</v>
      </c>
      <c r="DY54" s="174">
        <v>1</v>
      </c>
      <c r="DZ54" s="174">
        <v>2</v>
      </c>
      <c r="EA54" s="174">
        <v>0.5</v>
      </c>
      <c r="EB54" s="174">
        <f>DZ54*10</f>
        <v>20</v>
      </c>
      <c r="ED54" s="174" t="s">
        <v>983</v>
      </c>
      <c r="EE54" s="174">
        <v>2111</v>
      </c>
      <c r="EF54" s="174">
        <v>2111</v>
      </c>
      <c r="EG54" s="174">
        <v>2111</v>
      </c>
      <c r="EH54" s="174">
        <v>2111</v>
      </c>
      <c r="EI54" s="174">
        <v>2111</v>
      </c>
      <c r="EJ54" s="174">
        <v>2111</v>
      </c>
      <c r="EK54" s="174">
        <v>2111</v>
      </c>
      <c r="EL54" s="174">
        <v>9853</v>
      </c>
      <c r="EO54" s="174" t="s">
        <v>531</v>
      </c>
      <c r="EP54" s="174" t="s">
        <v>531</v>
      </c>
      <c r="EW54" s="174" t="s">
        <v>555</v>
      </c>
      <c r="EX54" s="174" t="s">
        <v>685</v>
      </c>
      <c r="FB54" s="174" t="s">
        <v>1135</v>
      </c>
      <c r="FD54" s="174" t="s">
        <v>678</v>
      </c>
      <c r="FE54" s="174" t="s">
        <v>685</v>
      </c>
      <c r="FO54" s="174" t="s">
        <v>675</v>
      </c>
      <c r="FS54" s="174" t="s">
        <v>531</v>
      </c>
      <c r="FT54" s="174" t="s">
        <v>531</v>
      </c>
      <c r="FU54" s="174" t="s">
        <v>531</v>
      </c>
      <c r="FV54" s="174" t="s">
        <v>1124</v>
      </c>
      <c r="FW54" s="174" t="s">
        <v>1124</v>
      </c>
      <c r="FX54" s="174" t="s">
        <v>1124</v>
      </c>
      <c r="FY54" s="174" t="s">
        <v>1124</v>
      </c>
      <c r="GL54" s="174" t="s">
        <v>1136</v>
      </c>
      <c r="GM54" s="174" t="s">
        <v>1137</v>
      </c>
      <c r="GN54" s="174" t="s">
        <v>1138</v>
      </c>
      <c r="GQ54" s="232" t="s">
        <v>4071</v>
      </c>
      <c r="GR54" s="232" t="s">
        <v>554</v>
      </c>
      <c r="HA54" s="174">
        <v>4</v>
      </c>
      <c r="HB54" s="197">
        <v>51</v>
      </c>
      <c r="HC54" s="194">
        <v>46</v>
      </c>
      <c r="HD54" s="238">
        <v>71</v>
      </c>
      <c r="HE54" s="236">
        <v>25</v>
      </c>
      <c r="HF54" s="183">
        <v>116</v>
      </c>
      <c r="HG54" s="193" t="e">
        <f t="shared" si="3"/>
        <v>#N/A</v>
      </c>
      <c r="HH54" s="192" t="e">
        <f t="shared" si="4"/>
        <v>#N/A</v>
      </c>
      <c r="HI54" s="198">
        <v>25</v>
      </c>
      <c r="HJ54" s="185">
        <v>115.5</v>
      </c>
      <c r="HK54" s="174">
        <v>52</v>
      </c>
      <c r="HL54" s="174">
        <v>286</v>
      </c>
      <c r="HM54" s="174">
        <v>268</v>
      </c>
      <c r="HN54" s="174">
        <v>226</v>
      </c>
      <c r="HO54" s="174">
        <v>172</v>
      </c>
      <c r="HP54" s="174">
        <v>162</v>
      </c>
      <c r="HQ54" s="174">
        <v>152</v>
      </c>
      <c r="HR54" s="174">
        <v>142</v>
      </c>
      <c r="HS54" s="174">
        <v>226</v>
      </c>
      <c r="HT54" s="174">
        <v>216</v>
      </c>
      <c r="HU54" s="174">
        <v>152</v>
      </c>
      <c r="HV54" s="174">
        <v>174</v>
      </c>
      <c r="HW54" s="174">
        <v>142</v>
      </c>
      <c r="HX54" s="174">
        <v>132</v>
      </c>
      <c r="HY54" s="174">
        <v>122</v>
      </c>
      <c r="HZ54" s="174">
        <v>112</v>
      </c>
      <c r="IA54" s="174">
        <v>164</v>
      </c>
      <c r="IB54" s="174">
        <v>144</v>
      </c>
      <c r="IC54" s="174">
        <v>112</v>
      </c>
      <c r="ID54" s="174">
        <v>82</v>
      </c>
      <c r="IE54" s="174">
        <v>62</v>
      </c>
      <c r="IF54" s="174">
        <v>54</v>
      </c>
      <c r="IM54" s="174">
        <v>2100000</v>
      </c>
      <c r="IN54" s="174">
        <v>52</v>
      </c>
    </row>
    <row r="55" spans="1:250" ht="13.35" customHeight="1" thickBot="1" x14ac:dyDescent="0.25">
      <c r="A55" s="183">
        <f t="shared" si="1"/>
        <v>54</v>
      </c>
      <c r="B55" s="183">
        <v>0</v>
      </c>
      <c r="C55" s="183">
        <f t="shared" si="2"/>
        <v>54</v>
      </c>
      <c r="E55" s="189" t="s">
        <v>739</v>
      </c>
      <c r="F55" s="190" t="s">
        <v>1010</v>
      </c>
      <c r="G55" s="190" t="s">
        <v>1005</v>
      </c>
      <c r="H55" s="190" t="s">
        <v>1007</v>
      </c>
      <c r="I55" s="190" t="s">
        <v>988</v>
      </c>
      <c r="J55" s="190" t="s">
        <v>1002</v>
      </c>
      <c r="K55" s="190" t="s">
        <v>1042</v>
      </c>
      <c r="L55" s="190" t="s">
        <v>1042</v>
      </c>
      <c r="M55" s="190" t="s">
        <v>987</v>
      </c>
      <c r="N55" s="190" t="s">
        <v>987</v>
      </c>
      <c r="O55" s="190" t="s">
        <v>1042</v>
      </c>
      <c r="P55" s="190" t="s">
        <v>1042</v>
      </c>
      <c r="Q55" s="190" t="s">
        <v>1042</v>
      </c>
      <c r="R55" s="190" t="s">
        <v>1042</v>
      </c>
      <c r="S55" s="190" t="s">
        <v>1042</v>
      </c>
      <c r="T55" s="190" t="s">
        <v>1002</v>
      </c>
      <c r="U55" s="190" t="s">
        <v>1005</v>
      </c>
      <c r="V55" s="190" t="s">
        <v>1030</v>
      </c>
      <c r="W55" s="190" t="s">
        <v>930</v>
      </c>
      <c r="X55" s="190" t="s">
        <v>1003</v>
      </c>
      <c r="Y55" s="190" t="s">
        <v>988</v>
      </c>
      <c r="Z55" s="190"/>
      <c r="AA55" s="190" t="s">
        <v>1042</v>
      </c>
      <c r="AB55" s="190" t="s">
        <v>1042</v>
      </c>
      <c r="AC55" s="190" t="s">
        <v>930</v>
      </c>
      <c r="AD55" s="190" t="s">
        <v>1003</v>
      </c>
      <c r="AE55" s="190"/>
      <c r="AF55" s="190" t="s">
        <v>1042</v>
      </c>
      <c r="AG55" s="190" t="s">
        <v>1042</v>
      </c>
      <c r="AH55" s="190" t="s">
        <v>930</v>
      </c>
      <c r="AI55" s="190"/>
      <c r="AJ55" s="190" t="s">
        <v>1005</v>
      </c>
      <c r="AK55" s="190" t="s">
        <v>1042</v>
      </c>
      <c r="AL55" s="190" t="s">
        <v>1042</v>
      </c>
      <c r="AM55" s="190" t="s">
        <v>1042</v>
      </c>
      <c r="AN55" s="190"/>
      <c r="AO55" s="190" t="s">
        <v>1042</v>
      </c>
      <c r="AP55" s="190" t="s">
        <v>1042</v>
      </c>
      <c r="AQ55" s="190" t="s">
        <v>1002</v>
      </c>
      <c r="AR55" s="190"/>
      <c r="AS55" s="190" t="s">
        <v>1031</v>
      </c>
      <c r="AT55" s="190" t="s">
        <v>1031</v>
      </c>
      <c r="AU55" s="190" t="s">
        <v>1031</v>
      </c>
      <c r="AV55" s="190" t="s">
        <v>1031</v>
      </c>
      <c r="AW55" s="190" t="s">
        <v>1031</v>
      </c>
      <c r="AX55" s="190" t="s">
        <v>1031</v>
      </c>
      <c r="AY55" s="190" t="s">
        <v>1031</v>
      </c>
      <c r="AZ55" s="190" t="s">
        <v>1031</v>
      </c>
      <c r="BA55" s="190" t="s">
        <v>1031</v>
      </c>
      <c r="BB55" s="190" t="s">
        <v>1031</v>
      </c>
      <c r="BC55" s="190" t="s">
        <v>1031</v>
      </c>
      <c r="BD55" s="190" t="s">
        <v>1031</v>
      </c>
      <c r="BE55" s="190" t="s">
        <v>1031</v>
      </c>
      <c r="BF55" s="190" t="s">
        <v>1031</v>
      </c>
      <c r="BG55" s="190" t="s">
        <v>1031</v>
      </c>
      <c r="BH55" s="190" t="s">
        <v>1031</v>
      </c>
      <c r="BI55" s="190" t="s">
        <v>1031</v>
      </c>
      <c r="BJ55" s="190" t="s">
        <v>1031</v>
      </c>
      <c r="BK55" s="190" t="s">
        <v>1031</v>
      </c>
      <c r="BL55" s="190" t="s">
        <v>1031</v>
      </c>
      <c r="BM55" s="190" t="s">
        <v>1031</v>
      </c>
      <c r="BN55" s="190" t="s">
        <v>1031</v>
      </c>
      <c r="BO55" s="190" t="s">
        <v>1031</v>
      </c>
      <c r="BP55" s="190" t="s">
        <v>1031</v>
      </c>
      <c r="BQ55" s="190" t="s">
        <v>1031</v>
      </c>
      <c r="BR55" s="190" t="s">
        <v>1031</v>
      </c>
      <c r="BS55" s="190" t="s">
        <v>1031</v>
      </c>
      <c r="BT55" s="190" t="s">
        <v>1031</v>
      </c>
      <c r="BU55" s="190" t="s">
        <v>1031</v>
      </c>
      <c r="BV55" s="190" t="s">
        <v>1031</v>
      </c>
      <c r="BW55" s="190" t="s">
        <v>1031</v>
      </c>
      <c r="BX55" s="190" t="s">
        <v>1031</v>
      </c>
      <c r="BY55" s="190" t="s">
        <v>1031</v>
      </c>
      <c r="BZ55" s="190" t="s">
        <v>1031</v>
      </c>
      <c r="CA55" s="190" t="s">
        <v>1031</v>
      </c>
      <c r="CB55" s="190" t="s">
        <v>1031</v>
      </c>
      <c r="CC55" s="190" t="s">
        <v>1031</v>
      </c>
      <c r="CD55" s="190" t="s">
        <v>1031</v>
      </c>
      <c r="CE55" s="190" t="s">
        <v>1031</v>
      </c>
      <c r="CF55" s="190" t="s">
        <v>1031</v>
      </c>
      <c r="CG55" s="190" t="s">
        <v>1031</v>
      </c>
      <c r="CH55" s="190" t="s">
        <v>1031</v>
      </c>
      <c r="CI55" s="190" t="s">
        <v>1031</v>
      </c>
      <c r="CJ55" s="190" t="s">
        <v>1031</v>
      </c>
      <c r="CK55" s="190" t="s">
        <v>1031</v>
      </c>
      <c r="CL55" s="190" t="s">
        <v>1031</v>
      </c>
      <c r="CM55" s="190" t="s">
        <v>1031</v>
      </c>
      <c r="CN55" s="190" t="s">
        <v>1031</v>
      </c>
      <c r="CO55" s="190" t="s">
        <v>1031</v>
      </c>
      <c r="CP55" s="190" t="s">
        <v>1031</v>
      </c>
      <c r="CQ55" s="190" t="s">
        <v>1031</v>
      </c>
      <c r="CR55" s="190"/>
      <c r="CS55" s="190" t="s">
        <v>1005</v>
      </c>
      <c r="CT55" s="190" t="s">
        <v>1005</v>
      </c>
      <c r="CU55" s="190" t="s">
        <v>988</v>
      </c>
      <c r="CV55" s="190" t="s">
        <v>1051</v>
      </c>
      <c r="CW55" s="190"/>
      <c r="CX55" s="190" t="s">
        <v>1005</v>
      </c>
      <c r="CY55" s="190" t="s">
        <v>987</v>
      </c>
      <c r="CZ55" s="190" t="s">
        <v>1042</v>
      </c>
      <c r="DA55" s="190" t="s">
        <v>1005</v>
      </c>
      <c r="DB55" s="190" t="s">
        <v>1042</v>
      </c>
      <c r="DC55" s="190" t="s">
        <v>987</v>
      </c>
      <c r="DD55" s="190" t="s">
        <v>1042</v>
      </c>
      <c r="DE55" s="190"/>
      <c r="DF55" s="174">
        <v>54</v>
      </c>
      <c r="DH55" s="182" t="s">
        <v>1049</v>
      </c>
      <c r="DI55" s="182" t="s">
        <v>961</v>
      </c>
      <c r="DJ55" s="182">
        <v>6</v>
      </c>
      <c r="DK55" s="182">
        <v>6</v>
      </c>
      <c r="DL55" s="182">
        <v>-4</v>
      </c>
      <c r="DM55" s="182"/>
      <c r="DN55" s="182"/>
      <c r="DO55" s="182">
        <v>-8</v>
      </c>
      <c r="DP55" s="182">
        <v>4</v>
      </c>
      <c r="DQ55" s="182">
        <v>-6</v>
      </c>
      <c r="DR55" s="182"/>
      <c r="DS55" s="182"/>
      <c r="DT55" s="182">
        <v>50</v>
      </c>
      <c r="DU55" s="182">
        <v>20</v>
      </c>
      <c r="DV55" s="182">
        <v>40</v>
      </c>
      <c r="DW55" s="182">
        <v>30</v>
      </c>
      <c r="DX55" s="182">
        <v>15</v>
      </c>
      <c r="DY55" s="182">
        <v>18</v>
      </c>
      <c r="DZ55" s="182">
        <v>5</v>
      </c>
      <c r="EA55" s="182">
        <v>0.5</v>
      </c>
      <c r="EB55" s="182">
        <v>45</v>
      </c>
      <c r="ED55" s="174" t="s">
        <v>961</v>
      </c>
      <c r="EE55" s="174">
        <v>2111</v>
      </c>
      <c r="EF55" s="174">
        <v>6543</v>
      </c>
      <c r="EG55" s="174">
        <v>2111</v>
      </c>
      <c r="EH55" s="174">
        <v>4322</v>
      </c>
      <c r="EI55" s="174">
        <v>2111</v>
      </c>
      <c r="EJ55" s="174">
        <v>4322</v>
      </c>
      <c r="EK55" s="174">
        <v>3221</v>
      </c>
      <c r="EL55" s="174">
        <v>6321</v>
      </c>
      <c r="EO55" s="174" t="s">
        <v>1139</v>
      </c>
      <c r="EP55" s="174" t="s">
        <v>1139</v>
      </c>
      <c r="EW55" s="174" t="s">
        <v>1140</v>
      </c>
      <c r="EX55" s="174" t="s">
        <v>1140</v>
      </c>
      <c r="FB55" s="174" t="s">
        <v>696</v>
      </c>
      <c r="FD55" s="174" t="s">
        <v>1141</v>
      </c>
      <c r="FO55" s="174" t="s">
        <v>1139</v>
      </c>
      <c r="FV55" s="174" t="s">
        <v>1142</v>
      </c>
      <c r="FW55" s="174" t="s">
        <v>1142</v>
      </c>
      <c r="FX55" s="174" t="s">
        <v>1142</v>
      </c>
      <c r="FY55" s="174" t="s">
        <v>1142</v>
      </c>
      <c r="GM55" s="174" t="s">
        <v>675</v>
      </c>
      <c r="GN55" s="174" t="s">
        <v>1143</v>
      </c>
      <c r="GQ55" s="232" t="s">
        <v>4072</v>
      </c>
      <c r="GR55" s="232" t="s">
        <v>4070</v>
      </c>
      <c r="HA55" s="174">
        <v>5</v>
      </c>
      <c r="HB55" s="197">
        <v>52</v>
      </c>
      <c r="HC55" s="194">
        <v>46</v>
      </c>
      <c r="HD55" s="238">
        <v>71</v>
      </c>
      <c r="HE55" s="236">
        <v>25</v>
      </c>
      <c r="HF55" s="183">
        <v>117</v>
      </c>
      <c r="HG55" s="193" t="e">
        <f t="shared" si="3"/>
        <v>#N/A</v>
      </c>
      <c r="HH55" s="192" t="e">
        <f t="shared" si="4"/>
        <v>#N/A</v>
      </c>
      <c r="HI55" s="198">
        <v>25</v>
      </c>
      <c r="HJ55" s="185">
        <v>116</v>
      </c>
      <c r="HK55" s="174">
        <v>53</v>
      </c>
      <c r="HL55" s="174">
        <v>289</v>
      </c>
      <c r="HM55" s="174">
        <v>272</v>
      </c>
      <c r="HN55" s="174">
        <v>229</v>
      </c>
      <c r="HO55" s="174">
        <v>173</v>
      </c>
      <c r="HP55" s="174">
        <v>163</v>
      </c>
      <c r="HQ55" s="174">
        <v>153</v>
      </c>
      <c r="HR55" s="174">
        <v>143</v>
      </c>
      <c r="HS55" s="174">
        <v>229</v>
      </c>
      <c r="HT55" s="174">
        <v>219</v>
      </c>
      <c r="HU55" s="174">
        <v>153</v>
      </c>
      <c r="HV55" s="174">
        <v>176</v>
      </c>
      <c r="HW55" s="174">
        <v>143</v>
      </c>
      <c r="HX55" s="174">
        <v>133</v>
      </c>
      <c r="HY55" s="174">
        <v>123</v>
      </c>
      <c r="HZ55" s="174">
        <v>113</v>
      </c>
      <c r="IA55" s="174">
        <v>166</v>
      </c>
      <c r="IB55" s="174">
        <v>146</v>
      </c>
      <c r="IC55" s="174">
        <v>113</v>
      </c>
      <c r="ID55" s="174">
        <v>83</v>
      </c>
      <c r="IE55" s="174">
        <v>63</v>
      </c>
      <c r="IF55" s="174">
        <v>55</v>
      </c>
      <c r="IM55" s="174">
        <v>2150000</v>
      </c>
      <c r="IN55" s="174">
        <v>53</v>
      </c>
    </row>
    <row r="56" spans="1:250" ht="13.35" customHeight="1" thickBot="1" x14ac:dyDescent="0.25">
      <c r="A56" s="183">
        <f t="shared" si="1"/>
        <v>55</v>
      </c>
      <c r="B56" s="183">
        <v>0</v>
      </c>
      <c r="C56" s="183">
        <f t="shared" si="2"/>
        <v>55</v>
      </c>
      <c r="E56" s="189" t="s">
        <v>742</v>
      </c>
      <c r="F56" s="190" t="s">
        <v>1004</v>
      </c>
      <c r="G56" s="190" t="s">
        <v>1002</v>
      </c>
      <c r="H56" s="190" t="s">
        <v>1002</v>
      </c>
      <c r="I56" s="190" t="s">
        <v>1030</v>
      </c>
      <c r="J56" s="190" t="s">
        <v>1003</v>
      </c>
      <c r="K56" s="190" t="s">
        <v>1042</v>
      </c>
      <c r="L56" s="190" t="s">
        <v>1042</v>
      </c>
      <c r="M56" s="190" t="s">
        <v>1042</v>
      </c>
      <c r="N56" s="190" t="s">
        <v>1042</v>
      </c>
      <c r="O56" s="190" t="s">
        <v>1042</v>
      </c>
      <c r="P56" s="190" t="s">
        <v>1042</v>
      </c>
      <c r="Q56" s="190" t="s">
        <v>1042</v>
      </c>
      <c r="R56" s="190" t="s">
        <v>1042</v>
      </c>
      <c r="S56" s="190" t="s">
        <v>1042</v>
      </c>
      <c r="T56" s="190" t="s">
        <v>987</v>
      </c>
      <c r="U56" s="190" t="s">
        <v>1002</v>
      </c>
      <c r="V56" s="190" t="s">
        <v>1030</v>
      </c>
      <c r="W56" s="190" t="s">
        <v>1030</v>
      </c>
      <c r="X56" s="190" t="s">
        <v>1030</v>
      </c>
      <c r="Y56" s="190" t="s">
        <v>987</v>
      </c>
      <c r="Z56" s="190"/>
      <c r="AA56" s="190" t="s">
        <v>1042</v>
      </c>
      <c r="AB56" s="190" t="s">
        <v>1042</v>
      </c>
      <c r="AC56" s="190" t="s">
        <v>1031</v>
      </c>
      <c r="AD56" s="190" t="s">
        <v>988</v>
      </c>
      <c r="AE56" s="190"/>
      <c r="AF56" s="190" t="s">
        <v>1042</v>
      </c>
      <c r="AG56" s="190" t="s">
        <v>1042</v>
      </c>
      <c r="AH56" s="190" t="s">
        <v>1030</v>
      </c>
      <c r="AI56" s="190"/>
      <c r="AJ56" s="190" t="s">
        <v>1005</v>
      </c>
      <c r="AK56" s="190" t="s">
        <v>1042</v>
      </c>
      <c r="AL56" s="190" t="s">
        <v>1042</v>
      </c>
      <c r="AM56" s="190" t="s">
        <v>1042</v>
      </c>
      <c r="AN56" s="190"/>
      <c r="AO56" s="190" t="s">
        <v>1042</v>
      </c>
      <c r="AP56" s="190" t="s">
        <v>1042</v>
      </c>
      <c r="AQ56" s="190" t="s">
        <v>987</v>
      </c>
      <c r="AR56" s="190"/>
      <c r="AS56" s="190" t="s">
        <v>1042</v>
      </c>
      <c r="AT56" s="190" t="s">
        <v>1042</v>
      </c>
      <c r="AU56" s="190" t="s">
        <v>1042</v>
      </c>
      <c r="AV56" s="190" t="s">
        <v>1042</v>
      </c>
      <c r="AW56" s="190" t="s">
        <v>1042</v>
      </c>
      <c r="AX56" s="190" t="s">
        <v>1042</v>
      </c>
      <c r="AY56" s="190" t="s">
        <v>1042</v>
      </c>
      <c r="AZ56" s="190" t="s">
        <v>1042</v>
      </c>
      <c r="BA56" s="190" t="s">
        <v>1042</v>
      </c>
      <c r="BB56" s="190" t="s">
        <v>1042</v>
      </c>
      <c r="BC56" s="190" t="s">
        <v>1042</v>
      </c>
      <c r="BD56" s="190" t="s">
        <v>1042</v>
      </c>
      <c r="BE56" s="190" t="s">
        <v>1042</v>
      </c>
      <c r="BF56" s="190" t="s">
        <v>1042</v>
      </c>
      <c r="BG56" s="190" t="s">
        <v>1042</v>
      </c>
      <c r="BH56" s="190" t="s">
        <v>1042</v>
      </c>
      <c r="BI56" s="190" t="s">
        <v>1042</v>
      </c>
      <c r="BJ56" s="190" t="s">
        <v>1042</v>
      </c>
      <c r="BK56" s="190" t="s">
        <v>1042</v>
      </c>
      <c r="BL56" s="190" t="s">
        <v>1042</v>
      </c>
      <c r="BM56" s="190" t="s">
        <v>1042</v>
      </c>
      <c r="BN56" s="190" t="s">
        <v>1042</v>
      </c>
      <c r="BO56" s="190" t="s">
        <v>1042</v>
      </c>
      <c r="BP56" s="190" t="s">
        <v>1042</v>
      </c>
      <c r="BQ56" s="190" t="s">
        <v>1042</v>
      </c>
      <c r="BR56" s="190" t="s">
        <v>1042</v>
      </c>
      <c r="BS56" s="190" t="s">
        <v>1042</v>
      </c>
      <c r="BT56" s="190" t="s">
        <v>1042</v>
      </c>
      <c r="BU56" s="190" t="s">
        <v>1042</v>
      </c>
      <c r="BV56" s="190" t="s">
        <v>1042</v>
      </c>
      <c r="BW56" s="190" t="s">
        <v>1042</v>
      </c>
      <c r="BX56" s="190" t="s">
        <v>1042</v>
      </c>
      <c r="BY56" s="190" t="s">
        <v>1042</v>
      </c>
      <c r="BZ56" s="190" t="s">
        <v>1042</v>
      </c>
      <c r="CA56" s="190" t="s">
        <v>1042</v>
      </c>
      <c r="CB56" s="190" t="s">
        <v>1042</v>
      </c>
      <c r="CC56" s="190" t="s">
        <v>1042</v>
      </c>
      <c r="CD56" s="190" t="s">
        <v>1042</v>
      </c>
      <c r="CE56" s="190" t="s">
        <v>1042</v>
      </c>
      <c r="CF56" s="190" t="s">
        <v>1042</v>
      </c>
      <c r="CG56" s="190" t="s">
        <v>1042</v>
      </c>
      <c r="CH56" s="190" t="s">
        <v>1042</v>
      </c>
      <c r="CI56" s="190" t="s">
        <v>1042</v>
      </c>
      <c r="CJ56" s="190" t="s">
        <v>1042</v>
      </c>
      <c r="CK56" s="190" t="s">
        <v>1042</v>
      </c>
      <c r="CL56" s="190" t="s">
        <v>1042</v>
      </c>
      <c r="CM56" s="190" t="s">
        <v>1042</v>
      </c>
      <c r="CN56" s="190" t="s">
        <v>1042</v>
      </c>
      <c r="CO56" s="190" t="s">
        <v>1042</v>
      </c>
      <c r="CP56" s="190" t="s">
        <v>1042</v>
      </c>
      <c r="CQ56" s="190" t="s">
        <v>1042</v>
      </c>
      <c r="CR56" s="190"/>
      <c r="CS56" s="190" t="s">
        <v>1002</v>
      </c>
      <c r="CT56" s="190" t="s">
        <v>1002</v>
      </c>
      <c r="CU56" s="190" t="s">
        <v>1030</v>
      </c>
      <c r="CV56" s="190" t="s">
        <v>1051</v>
      </c>
      <c r="CW56" s="190"/>
      <c r="CX56" s="190" t="s">
        <v>1002</v>
      </c>
      <c r="CY56" s="190" t="s">
        <v>1042</v>
      </c>
      <c r="CZ56" s="190" t="s">
        <v>1042</v>
      </c>
      <c r="DA56" s="190" t="s">
        <v>1002</v>
      </c>
      <c r="DB56" s="190" t="s">
        <v>1042</v>
      </c>
      <c r="DC56" s="190" t="s">
        <v>1042</v>
      </c>
      <c r="DD56" s="190" t="s">
        <v>1042</v>
      </c>
      <c r="DE56" s="190"/>
      <c r="DF56" s="174">
        <v>55</v>
      </c>
      <c r="DH56" s="174" t="s">
        <v>936</v>
      </c>
      <c r="DI56" s="174" t="s">
        <v>946</v>
      </c>
      <c r="DJ56" s="174">
        <v>4</v>
      </c>
      <c r="DO56" s="174">
        <v>4</v>
      </c>
      <c r="DQ56" s="174">
        <v>2</v>
      </c>
      <c r="DW56" s="174">
        <v>5</v>
      </c>
      <c r="DX56" s="174">
        <v>15</v>
      </c>
      <c r="DY56" s="174">
        <v>10</v>
      </c>
      <c r="DZ56" s="174">
        <v>4</v>
      </c>
      <c r="EA56" s="174">
        <v>0.75</v>
      </c>
      <c r="EB56" s="174">
        <f>DZ56*10</f>
        <v>40</v>
      </c>
      <c r="ED56" s="174" t="s">
        <v>946</v>
      </c>
      <c r="EE56" s="174">
        <v>6543</v>
      </c>
      <c r="EF56" s="174">
        <v>6543</v>
      </c>
      <c r="EG56" s="174">
        <v>7654</v>
      </c>
      <c r="EH56" s="174">
        <v>6453</v>
      </c>
      <c r="EI56" s="174">
        <v>6543</v>
      </c>
      <c r="EJ56" s="174">
        <v>6543</v>
      </c>
      <c r="EK56" s="174">
        <v>6543</v>
      </c>
      <c r="EL56" s="174">
        <v>7531</v>
      </c>
      <c r="EO56" s="174" t="s">
        <v>1129</v>
      </c>
      <c r="EP56" s="174" t="s">
        <v>1129</v>
      </c>
      <c r="FB56" s="174" t="s">
        <v>1144</v>
      </c>
      <c r="FO56" s="174" t="s">
        <v>491</v>
      </c>
      <c r="GM56" s="174" t="s">
        <v>677</v>
      </c>
      <c r="GN56" s="174" t="s">
        <v>1145</v>
      </c>
      <c r="HA56" s="174">
        <v>6</v>
      </c>
      <c r="HB56" s="197">
        <v>53</v>
      </c>
      <c r="HC56" s="194">
        <v>47</v>
      </c>
      <c r="HD56" s="238">
        <v>72</v>
      </c>
      <c r="HE56" s="236">
        <v>25</v>
      </c>
      <c r="HF56" s="183">
        <v>118</v>
      </c>
      <c r="HG56" s="193" t="e">
        <f t="shared" si="3"/>
        <v>#N/A</v>
      </c>
      <c r="HH56" s="192" t="e">
        <f t="shared" si="4"/>
        <v>#N/A</v>
      </c>
      <c r="HI56" s="198">
        <v>25</v>
      </c>
      <c r="HJ56" s="185">
        <v>116.5</v>
      </c>
      <c r="HK56" s="174">
        <v>54</v>
      </c>
      <c r="HL56" s="174">
        <v>292</v>
      </c>
      <c r="HM56" s="174">
        <v>276</v>
      </c>
      <c r="HN56" s="174">
        <v>232</v>
      </c>
      <c r="HO56" s="174">
        <v>174</v>
      </c>
      <c r="HP56" s="174">
        <v>164</v>
      </c>
      <c r="HQ56" s="174">
        <v>154</v>
      </c>
      <c r="HR56" s="174">
        <v>144</v>
      </c>
      <c r="HS56" s="174">
        <v>232</v>
      </c>
      <c r="HT56" s="174">
        <v>222</v>
      </c>
      <c r="HU56" s="174">
        <v>154</v>
      </c>
      <c r="HV56" s="174">
        <v>178</v>
      </c>
      <c r="HW56" s="174">
        <v>144</v>
      </c>
      <c r="HX56" s="174">
        <v>134</v>
      </c>
      <c r="HY56" s="174">
        <v>124</v>
      </c>
      <c r="HZ56" s="174">
        <v>114</v>
      </c>
      <c r="IA56" s="174">
        <v>168</v>
      </c>
      <c r="IB56" s="174">
        <v>148</v>
      </c>
      <c r="IC56" s="174">
        <v>114</v>
      </c>
      <c r="ID56" s="174">
        <v>84</v>
      </c>
      <c r="IE56" s="174">
        <v>64</v>
      </c>
      <c r="IF56" s="174">
        <v>56</v>
      </c>
      <c r="IM56" s="174">
        <v>2200000</v>
      </c>
      <c r="IN56" s="174">
        <v>54</v>
      </c>
    </row>
    <row r="57" spans="1:250" ht="13.35" customHeight="1" thickBot="1" x14ac:dyDescent="0.25">
      <c r="A57" s="183">
        <f t="shared" si="1"/>
        <v>56</v>
      </c>
      <c r="B57" s="183">
        <v>0</v>
      </c>
      <c r="C57" s="183">
        <f t="shared" si="2"/>
        <v>56</v>
      </c>
      <c r="E57" s="189" t="s">
        <v>744</v>
      </c>
      <c r="F57" s="190" t="s">
        <v>1004</v>
      </c>
      <c r="G57" s="190" t="s">
        <v>1002</v>
      </c>
      <c r="H57" s="190" t="s">
        <v>1002</v>
      </c>
      <c r="I57" s="190" t="s">
        <v>1030</v>
      </c>
      <c r="J57" s="190" t="s">
        <v>1003</v>
      </c>
      <c r="K57" s="190" t="s">
        <v>1042</v>
      </c>
      <c r="L57" s="190" t="s">
        <v>1042</v>
      </c>
      <c r="M57" s="190" t="s">
        <v>1042</v>
      </c>
      <c r="N57" s="190" t="s">
        <v>1042</v>
      </c>
      <c r="O57" s="190" t="s">
        <v>1042</v>
      </c>
      <c r="P57" s="190" t="s">
        <v>1042</v>
      </c>
      <c r="Q57" s="190" t="s">
        <v>1042</v>
      </c>
      <c r="R57" s="190" t="s">
        <v>1042</v>
      </c>
      <c r="S57" s="190" t="s">
        <v>1042</v>
      </c>
      <c r="T57" s="190" t="s">
        <v>987</v>
      </c>
      <c r="U57" s="190" t="s">
        <v>1002</v>
      </c>
      <c r="V57" s="190" t="s">
        <v>1030</v>
      </c>
      <c r="W57" s="190" t="s">
        <v>1030</v>
      </c>
      <c r="X57" s="190" t="s">
        <v>1030</v>
      </c>
      <c r="Y57" s="190" t="s">
        <v>930</v>
      </c>
      <c r="Z57" s="190"/>
      <c r="AA57" s="190" t="s">
        <v>1042</v>
      </c>
      <c r="AB57" s="190" t="s">
        <v>1042</v>
      </c>
      <c r="AC57" s="190" t="s">
        <v>1030</v>
      </c>
      <c r="AD57" s="190" t="s">
        <v>987</v>
      </c>
      <c r="AE57" s="190"/>
      <c r="AF57" s="190" t="s">
        <v>1042</v>
      </c>
      <c r="AG57" s="190" t="s">
        <v>1042</v>
      </c>
      <c r="AH57" s="190" t="s">
        <v>1030</v>
      </c>
      <c r="AI57" s="190"/>
      <c r="AJ57" s="190" t="s">
        <v>1002</v>
      </c>
      <c r="AK57" s="190" t="s">
        <v>1042</v>
      </c>
      <c r="AL57" s="190" t="s">
        <v>1042</v>
      </c>
      <c r="AM57" s="190" t="s">
        <v>1042</v>
      </c>
      <c r="AN57" s="190"/>
      <c r="AO57" s="190" t="s">
        <v>1042</v>
      </c>
      <c r="AP57" s="190" t="s">
        <v>1042</v>
      </c>
      <c r="AQ57" s="190" t="s">
        <v>987</v>
      </c>
      <c r="AR57" s="190"/>
      <c r="AS57" s="190" t="s">
        <v>1042</v>
      </c>
      <c r="AT57" s="190" t="s">
        <v>1042</v>
      </c>
      <c r="AU57" s="190" t="s">
        <v>1042</v>
      </c>
      <c r="AV57" s="190" t="s">
        <v>1042</v>
      </c>
      <c r="AW57" s="190" t="s">
        <v>1042</v>
      </c>
      <c r="AX57" s="190" t="s">
        <v>1042</v>
      </c>
      <c r="AY57" s="190" t="s">
        <v>1042</v>
      </c>
      <c r="AZ57" s="190" t="s">
        <v>1042</v>
      </c>
      <c r="BA57" s="190" t="s">
        <v>1042</v>
      </c>
      <c r="BB57" s="190" t="s">
        <v>1042</v>
      </c>
      <c r="BC57" s="190" t="s">
        <v>1042</v>
      </c>
      <c r="BD57" s="190" t="s">
        <v>1042</v>
      </c>
      <c r="BE57" s="190" t="s">
        <v>1042</v>
      </c>
      <c r="BF57" s="190" t="s">
        <v>1042</v>
      </c>
      <c r="BG57" s="190" t="s">
        <v>1042</v>
      </c>
      <c r="BH57" s="190" t="s">
        <v>1042</v>
      </c>
      <c r="BI57" s="190" t="s">
        <v>1042</v>
      </c>
      <c r="BJ57" s="190" t="s">
        <v>1042</v>
      </c>
      <c r="BK57" s="190" t="s">
        <v>1042</v>
      </c>
      <c r="BL57" s="190" t="s">
        <v>1042</v>
      </c>
      <c r="BM57" s="190" t="s">
        <v>1042</v>
      </c>
      <c r="BN57" s="190" t="s">
        <v>1042</v>
      </c>
      <c r="BO57" s="190" t="s">
        <v>1042</v>
      </c>
      <c r="BP57" s="190" t="s">
        <v>1042</v>
      </c>
      <c r="BQ57" s="190" t="s">
        <v>1042</v>
      </c>
      <c r="BR57" s="190" t="s">
        <v>1042</v>
      </c>
      <c r="BS57" s="190" t="s">
        <v>1042</v>
      </c>
      <c r="BT57" s="190" t="s">
        <v>1042</v>
      </c>
      <c r="BU57" s="190" t="s">
        <v>1042</v>
      </c>
      <c r="BV57" s="190" t="s">
        <v>1042</v>
      </c>
      <c r="BW57" s="190" t="s">
        <v>1042</v>
      </c>
      <c r="BX57" s="190" t="s">
        <v>1042</v>
      </c>
      <c r="BY57" s="190" t="s">
        <v>1042</v>
      </c>
      <c r="BZ57" s="190" t="s">
        <v>1042</v>
      </c>
      <c r="CA57" s="190" t="s">
        <v>1042</v>
      </c>
      <c r="CB57" s="190" t="s">
        <v>1042</v>
      </c>
      <c r="CC57" s="190" t="s">
        <v>1042</v>
      </c>
      <c r="CD57" s="190" t="s">
        <v>1042</v>
      </c>
      <c r="CE57" s="190" t="s">
        <v>1042</v>
      </c>
      <c r="CF57" s="190" t="s">
        <v>1042</v>
      </c>
      <c r="CG57" s="190" t="s">
        <v>1042</v>
      </c>
      <c r="CH57" s="190" t="s">
        <v>1042</v>
      </c>
      <c r="CI57" s="190" t="s">
        <v>1042</v>
      </c>
      <c r="CJ57" s="190" t="s">
        <v>1042</v>
      </c>
      <c r="CK57" s="190" t="s">
        <v>1042</v>
      </c>
      <c r="CL57" s="190" t="s">
        <v>1042</v>
      </c>
      <c r="CM57" s="190" t="s">
        <v>1042</v>
      </c>
      <c r="CN57" s="190" t="s">
        <v>1042</v>
      </c>
      <c r="CO57" s="190" t="s">
        <v>1042</v>
      </c>
      <c r="CP57" s="190" t="s">
        <v>1042</v>
      </c>
      <c r="CQ57" s="190" t="s">
        <v>1042</v>
      </c>
      <c r="CR57" s="190"/>
      <c r="CS57" s="190" t="s">
        <v>1002</v>
      </c>
      <c r="CT57" s="190" t="s">
        <v>1002</v>
      </c>
      <c r="CU57" s="190" t="s">
        <v>1030</v>
      </c>
      <c r="CV57" s="190" t="s">
        <v>1007</v>
      </c>
      <c r="CW57" s="190"/>
      <c r="CX57" s="190" t="s">
        <v>1002</v>
      </c>
      <c r="CY57" s="190" t="s">
        <v>1042</v>
      </c>
      <c r="CZ57" s="190" t="s">
        <v>1042</v>
      </c>
      <c r="DA57" s="190" t="s">
        <v>1002</v>
      </c>
      <c r="DB57" s="190" t="s">
        <v>1042</v>
      </c>
      <c r="DC57" s="190" t="s">
        <v>1042</v>
      </c>
      <c r="DD57" s="190" t="s">
        <v>1042</v>
      </c>
      <c r="DE57" s="190"/>
      <c r="DF57" s="174">
        <v>56</v>
      </c>
      <c r="DH57" s="182" t="s">
        <v>911</v>
      </c>
      <c r="DI57" s="182" t="s">
        <v>911</v>
      </c>
      <c r="DJ57" s="182">
        <v>2</v>
      </c>
      <c r="DK57" s="182"/>
      <c r="DL57" s="182">
        <v>2</v>
      </c>
      <c r="DM57" s="182"/>
      <c r="DN57" s="182"/>
      <c r="DO57" s="182">
        <v>2</v>
      </c>
      <c r="DP57" s="182"/>
      <c r="DQ57" s="182">
        <v>-2</v>
      </c>
      <c r="DR57" s="182">
        <v>2</v>
      </c>
      <c r="DS57" s="182">
        <v>-2</v>
      </c>
      <c r="DT57" s="182">
        <v>20</v>
      </c>
      <c r="DU57" s="182"/>
      <c r="DV57" s="182">
        <v>20</v>
      </c>
      <c r="DW57" s="182">
        <v>5</v>
      </c>
      <c r="DX57" s="182">
        <v>5</v>
      </c>
      <c r="DY57" s="182">
        <v>16</v>
      </c>
      <c r="DZ57" s="182">
        <v>5</v>
      </c>
      <c r="EA57" s="182">
        <v>0.75</v>
      </c>
      <c r="EB57" s="182">
        <f>DZ57*10</f>
        <v>50</v>
      </c>
      <c r="ED57" s="174" t="s">
        <v>911</v>
      </c>
      <c r="EE57" s="174">
        <v>6543</v>
      </c>
      <c r="EF57" s="174">
        <v>6543</v>
      </c>
      <c r="EG57" s="174">
        <v>7654</v>
      </c>
      <c r="EH57" s="174">
        <v>6453</v>
      </c>
      <c r="EI57" s="174">
        <v>6543</v>
      </c>
      <c r="EJ57" s="174">
        <v>6543</v>
      </c>
      <c r="EK57" s="174">
        <v>6543</v>
      </c>
      <c r="EL57" s="174">
        <v>7421</v>
      </c>
      <c r="EO57" s="174" t="s">
        <v>420</v>
      </c>
      <c r="EP57" s="174" t="s">
        <v>420</v>
      </c>
      <c r="FB57" s="174" t="s">
        <v>1146</v>
      </c>
      <c r="GM57" s="174" t="s">
        <v>681</v>
      </c>
      <c r="HA57" s="174">
        <v>7</v>
      </c>
      <c r="HB57" s="197">
        <v>54</v>
      </c>
      <c r="HC57" s="194">
        <v>47</v>
      </c>
      <c r="HD57" s="238">
        <v>72</v>
      </c>
      <c r="HE57" s="236">
        <v>25</v>
      </c>
      <c r="HF57" s="183">
        <v>119</v>
      </c>
      <c r="HG57" s="193" t="e">
        <f t="shared" si="3"/>
        <v>#N/A</v>
      </c>
      <c r="HH57" s="192" t="e">
        <f t="shared" si="4"/>
        <v>#N/A</v>
      </c>
      <c r="HI57" s="198">
        <v>25</v>
      </c>
      <c r="HJ57" s="185">
        <v>117</v>
      </c>
      <c r="HK57" s="174">
        <v>55</v>
      </c>
      <c r="HL57" s="174">
        <v>295</v>
      </c>
      <c r="HM57" s="174">
        <v>280</v>
      </c>
      <c r="HN57" s="174">
        <v>235</v>
      </c>
      <c r="HO57" s="174">
        <v>175</v>
      </c>
      <c r="HP57" s="174">
        <v>165</v>
      </c>
      <c r="HQ57" s="174">
        <v>155</v>
      </c>
      <c r="HR57" s="174">
        <v>145</v>
      </c>
      <c r="HS57" s="174">
        <v>235</v>
      </c>
      <c r="HT57" s="174">
        <v>225</v>
      </c>
      <c r="HU57" s="174">
        <v>155</v>
      </c>
      <c r="HV57" s="174">
        <v>180</v>
      </c>
      <c r="HW57" s="174">
        <v>145</v>
      </c>
      <c r="HX57" s="174">
        <v>135</v>
      </c>
      <c r="HY57" s="174">
        <v>125</v>
      </c>
      <c r="HZ57" s="174">
        <v>115</v>
      </c>
      <c r="IA57" s="174">
        <v>170</v>
      </c>
      <c r="IB57" s="174">
        <v>150</v>
      </c>
      <c r="IC57" s="174">
        <v>115</v>
      </c>
      <c r="ID57" s="174">
        <v>85</v>
      </c>
      <c r="IE57" s="174">
        <v>65</v>
      </c>
      <c r="IF57" s="174">
        <v>57</v>
      </c>
      <c r="IM57" s="174">
        <v>2250000</v>
      </c>
      <c r="IN57" s="174">
        <v>55</v>
      </c>
    </row>
    <row r="58" spans="1:250" ht="13.35" customHeight="1" thickBot="1" x14ac:dyDescent="0.25">
      <c r="A58" s="183">
        <f t="shared" si="1"/>
        <v>57</v>
      </c>
      <c r="B58" s="183">
        <v>0</v>
      </c>
      <c r="C58" s="183">
        <f t="shared" si="2"/>
        <v>57</v>
      </c>
      <c r="U58" s="190"/>
      <c r="DF58" s="174">
        <v>57</v>
      </c>
      <c r="DH58" s="182" t="s">
        <v>1024</v>
      </c>
      <c r="DI58" s="182" t="s">
        <v>941</v>
      </c>
      <c r="DJ58" s="182"/>
      <c r="DK58" s="182"/>
      <c r="DL58" s="182">
        <v>2</v>
      </c>
      <c r="DM58" s="182"/>
      <c r="DN58" s="182"/>
      <c r="DO58" s="182">
        <v>2</v>
      </c>
      <c r="DP58" s="182"/>
      <c r="DQ58" s="182"/>
      <c r="DR58" s="182"/>
      <c r="DS58" s="182"/>
      <c r="DT58" s="182"/>
      <c r="DU58" s="182"/>
      <c r="DV58" s="182"/>
      <c r="DW58" s="182"/>
      <c r="DX58" s="182"/>
      <c r="DY58" s="182">
        <v>12</v>
      </c>
      <c r="DZ58" s="182">
        <v>6</v>
      </c>
      <c r="EA58" s="182">
        <v>1</v>
      </c>
      <c r="EB58" s="182">
        <v>55</v>
      </c>
      <c r="ED58" s="174" t="s">
        <v>941</v>
      </c>
      <c r="EE58" s="174">
        <v>6543</v>
      </c>
      <c r="EF58" s="174">
        <v>6543</v>
      </c>
      <c r="EG58" s="174">
        <v>7654</v>
      </c>
      <c r="EH58" s="174">
        <v>6543</v>
      </c>
      <c r="EI58" s="174">
        <v>6543</v>
      </c>
      <c r="EJ58" s="174">
        <v>6543</v>
      </c>
      <c r="EK58" s="174">
        <v>6543</v>
      </c>
      <c r="EL58" s="174">
        <v>6421</v>
      </c>
      <c r="EO58" s="174" t="s">
        <v>422</v>
      </c>
      <c r="EP58" s="174" t="s">
        <v>422</v>
      </c>
      <c r="FB58" s="174" t="s">
        <v>1147</v>
      </c>
      <c r="HA58" s="174">
        <v>8</v>
      </c>
      <c r="HB58" s="197">
        <v>55</v>
      </c>
      <c r="HC58" s="194">
        <v>48</v>
      </c>
      <c r="HD58" s="238">
        <v>73</v>
      </c>
      <c r="HE58" s="236">
        <v>25</v>
      </c>
      <c r="HF58" s="183">
        <v>120</v>
      </c>
      <c r="HG58" s="193" t="e">
        <f t="shared" si="3"/>
        <v>#N/A</v>
      </c>
      <c r="HH58" s="192" t="e">
        <f t="shared" si="4"/>
        <v>#N/A</v>
      </c>
      <c r="HI58" s="198">
        <v>25</v>
      </c>
      <c r="HJ58" s="185">
        <v>117.5</v>
      </c>
      <c r="HK58" s="174">
        <v>56</v>
      </c>
      <c r="HL58" s="174">
        <v>298</v>
      </c>
      <c r="HM58" s="174">
        <v>284</v>
      </c>
      <c r="HN58" s="174">
        <v>238</v>
      </c>
      <c r="HO58" s="174">
        <v>176</v>
      </c>
      <c r="HP58" s="174">
        <v>166</v>
      </c>
      <c r="HQ58" s="174">
        <v>156</v>
      </c>
      <c r="HR58" s="174">
        <v>146</v>
      </c>
      <c r="HS58" s="174">
        <v>238</v>
      </c>
      <c r="HT58" s="174">
        <v>228</v>
      </c>
      <c r="HU58" s="174">
        <v>156</v>
      </c>
      <c r="HV58" s="174">
        <v>182</v>
      </c>
      <c r="HW58" s="174">
        <v>146</v>
      </c>
      <c r="HX58" s="174">
        <v>136</v>
      </c>
      <c r="HY58" s="174">
        <v>126</v>
      </c>
      <c r="HZ58" s="174">
        <v>116</v>
      </c>
      <c r="IA58" s="174">
        <v>172</v>
      </c>
      <c r="IB58" s="174">
        <v>152</v>
      </c>
      <c r="IC58" s="174">
        <v>116</v>
      </c>
      <c r="ID58" s="174">
        <v>86</v>
      </c>
      <c r="IE58" s="174">
        <v>66</v>
      </c>
      <c r="IF58" s="174">
        <v>58</v>
      </c>
      <c r="IM58" s="174">
        <v>2300000</v>
      </c>
      <c r="IN58" s="174">
        <v>56</v>
      </c>
    </row>
    <row r="59" spans="1:250" ht="13.35" customHeight="1" thickBot="1" x14ac:dyDescent="0.25">
      <c r="A59" s="183">
        <f t="shared" si="1"/>
        <v>58</v>
      </c>
      <c r="B59" s="183">
        <v>0</v>
      </c>
      <c r="C59" s="183">
        <f t="shared" si="2"/>
        <v>58</v>
      </c>
      <c r="E59" s="174" t="s">
        <v>1148</v>
      </c>
      <c r="F59" s="174" t="s">
        <v>782</v>
      </c>
      <c r="G59" s="174" t="s">
        <v>783</v>
      </c>
      <c r="H59" s="174" t="s">
        <v>784</v>
      </c>
      <c r="I59" s="174" t="s">
        <v>785</v>
      </c>
      <c r="J59" s="174" t="s">
        <v>786</v>
      </c>
      <c r="K59" s="174" t="s">
        <v>787</v>
      </c>
      <c r="L59" s="174" t="s">
        <v>788</v>
      </c>
      <c r="M59" s="174" t="s">
        <v>789</v>
      </c>
      <c r="N59" s="174" t="s">
        <v>790</v>
      </c>
      <c r="O59" s="174" t="s">
        <v>791</v>
      </c>
      <c r="P59" s="174" t="s">
        <v>792</v>
      </c>
      <c r="Q59" s="174" t="s">
        <v>793</v>
      </c>
      <c r="R59" s="174" t="s">
        <v>794</v>
      </c>
      <c r="S59" s="174" t="s">
        <v>182</v>
      </c>
      <c r="T59" s="174" t="s">
        <v>795</v>
      </c>
      <c r="U59" s="174" t="s">
        <v>796</v>
      </c>
      <c r="V59" s="174" t="s">
        <v>797</v>
      </c>
      <c r="W59" s="174" t="s">
        <v>798</v>
      </c>
      <c r="X59" s="174" t="s">
        <v>799</v>
      </c>
      <c r="Y59" s="174" t="s">
        <v>800</v>
      </c>
      <c r="AA59" s="174" t="str">
        <f>AA2</f>
        <v>Arcanist (AC)</v>
      </c>
      <c r="AB59" s="174" t="str">
        <f>AB2</f>
        <v>Wizard (AC)</v>
      </c>
      <c r="AC59" s="174" t="str">
        <f>AC2</f>
        <v>Chaotic (AC)</v>
      </c>
      <c r="AD59" s="174" t="str">
        <f>AD2</f>
        <v>Magehunter (AC)</v>
      </c>
      <c r="AF59" s="174" t="s">
        <v>805</v>
      </c>
      <c r="AG59" s="174" t="s">
        <v>806</v>
      </c>
      <c r="AH59" s="174" t="s">
        <v>807</v>
      </c>
      <c r="AJ59" s="174" t="s">
        <v>808</v>
      </c>
      <c r="AK59" s="174" t="s">
        <v>809</v>
      </c>
      <c r="AL59" s="174" t="s">
        <v>810</v>
      </c>
      <c r="AM59" s="174" t="s">
        <v>811</v>
      </c>
      <c r="AO59" s="174" t="s">
        <v>812</v>
      </c>
      <c r="AP59" s="174" t="s">
        <v>813</v>
      </c>
      <c r="AQ59" s="174" t="s">
        <v>814</v>
      </c>
      <c r="AS59" s="174" t="s">
        <v>815</v>
      </c>
      <c r="AT59" s="174" t="s">
        <v>816</v>
      </c>
      <c r="AU59" s="174" t="s">
        <v>817</v>
      </c>
      <c r="AV59" s="174" t="s">
        <v>818</v>
      </c>
      <c r="AW59" s="174" t="s">
        <v>819</v>
      </c>
      <c r="AX59" s="174" t="str">
        <f t="shared" ref="AX59:CQ59" si="8">AX2</f>
        <v>Priest of Community</v>
      </c>
      <c r="AY59" s="174" t="str">
        <f t="shared" si="8"/>
        <v>Priest of Competition</v>
      </c>
      <c r="AZ59" s="174" t="str">
        <f t="shared" si="8"/>
        <v>Priest of Crafts</v>
      </c>
      <c r="BA59" s="174" t="str">
        <f t="shared" si="8"/>
        <v>Priest of Culture</v>
      </c>
      <c r="BB59" s="174" t="str">
        <f t="shared" si="8"/>
        <v>Priest of Darkness, Night</v>
      </c>
      <c r="BC59" s="174" t="str">
        <f t="shared" si="8"/>
        <v>Priest of Dawn</v>
      </c>
      <c r="BD59" s="174" t="str">
        <f t="shared" si="8"/>
        <v>Priest of Death</v>
      </c>
      <c r="BE59" s="174" t="str">
        <f t="shared" si="8"/>
        <v>Priest of Disease</v>
      </c>
      <c r="BF59" s="174" t="str">
        <f t="shared" si="8"/>
        <v>Priest of Earth</v>
      </c>
      <c r="BG59" s="174" t="str">
        <f t="shared" si="8"/>
        <v>Priest of Fate, Destiny</v>
      </c>
      <c r="BH59" s="174" t="str">
        <f t="shared" si="8"/>
        <v>Priest of Fertility</v>
      </c>
      <c r="BI59" s="174" t="str">
        <f t="shared" si="8"/>
        <v>Priest of Fire</v>
      </c>
      <c r="BJ59" s="174" t="str">
        <f t="shared" si="8"/>
        <v>Priest of Fortune, Luck</v>
      </c>
      <c r="BK59" s="174" t="str">
        <f t="shared" si="8"/>
        <v>Priest of Guardianship</v>
      </c>
      <c r="BL59" s="174" t="str">
        <f t="shared" si="8"/>
        <v>Priest of Healing</v>
      </c>
      <c r="BM59" s="174" t="str">
        <f t="shared" si="8"/>
        <v>Priest of Hunting</v>
      </c>
      <c r="BN59" s="174" t="str">
        <f t="shared" si="8"/>
        <v>Priest of Justice, Revenge</v>
      </c>
      <c r="BO59" s="174" t="str">
        <f t="shared" si="8"/>
        <v>Priest of Light</v>
      </c>
      <c r="BP59" s="174" t="str">
        <f t="shared" si="8"/>
        <v>Priest of Lightning</v>
      </c>
      <c r="BQ59" s="174" t="str">
        <f t="shared" si="8"/>
        <v>Priest of Literature</v>
      </c>
      <c r="BR59" s="174" t="str">
        <f t="shared" si="8"/>
        <v>Priest of Love</v>
      </c>
      <c r="BS59" s="174" t="str">
        <f t="shared" si="8"/>
        <v>Priest of Magic</v>
      </c>
      <c r="BT59" s="174" t="str">
        <f t="shared" si="8"/>
        <v>Priest of Marriage</v>
      </c>
      <c r="BU59" s="174" t="str">
        <f t="shared" si="8"/>
        <v>Priest of Messengers</v>
      </c>
      <c r="BV59" s="174" t="str">
        <f t="shared" si="8"/>
        <v>Priest of Metalwork</v>
      </c>
      <c r="BW59" s="174" t="str">
        <f t="shared" si="8"/>
        <v>Priest of Mischief/Trickery</v>
      </c>
      <c r="BX59" s="174" t="str">
        <f t="shared" si="8"/>
        <v>Priest of Moon</v>
      </c>
      <c r="BY59" s="174" t="str">
        <f t="shared" si="8"/>
        <v>Priest of Music, Dance</v>
      </c>
      <c r="BZ59" s="174" t="str">
        <f t="shared" si="8"/>
        <v>Priest of Nature</v>
      </c>
      <c r="CA59" s="174" t="str">
        <f t="shared" si="8"/>
        <v>Priest of Ocean, Rivers</v>
      </c>
      <c r="CB59" s="174" t="str">
        <f t="shared" si="8"/>
        <v>Priest of Oracles</v>
      </c>
      <c r="CC59" s="174" t="str">
        <f t="shared" si="8"/>
        <v>Priest of Peace</v>
      </c>
      <c r="CD59" s="174" t="str">
        <f t="shared" si="8"/>
        <v>Priest of Prosperity</v>
      </c>
      <c r="CE59" s="174" t="str">
        <f t="shared" si="8"/>
        <v>Priest of Redemption</v>
      </c>
      <c r="CF59" s="174" t="str">
        <f t="shared" si="8"/>
        <v>Priest of Rulership</v>
      </c>
      <c r="CG59" s="174" t="str">
        <f t="shared" si="8"/>
        <v>Priest of Seasons</v>
      </c>
      <c r="CH59" s="174" t="str">
        <f t="shared" si="8"/>
        <v>Priest of Sky, Weather</v>
      </c>
      <c r="CI59" s="174" t="str">
        <f t="shared" si="8"/>
        <v>Priest of Strength</v>
      </c>
      <c r="CJ59" s="174" t="str">
        <f t="shared" si="8"/>
        <v>Priest of Sun</v>
      </c>
      <c r="CK59" s="174" t="str">
        <f t="shared" si="8"/>
        <v>Priest of Thunder</v>
      </c>
      <c r="CL59" s="174" t="str">
        <f t="shared" si="8"/>
        <v>Priest of Time</v>
      </c>
      <c r="CM59" s="174" t="str">
        <f t="shared" si="8"/>
        <v>Priest of Trade</v>
      </c>
      <c r="CN59" s="174" t="str">
        <f t="shared" si="8"/>
        <v>Priest of Vegetation</v>
      </c>
      <c r="CO59" s="174" t="str">
        <f t="shared" si="8"/>
        <v>Priest of War</v>
      </c>
      <c r="CP59" s="174" t="str">
        <f t="shared" si="8"/>
        <v>Priest of Wind</v>
      </c>
      <c r="CQ59" s="174" t="str">
        <f t="shared" si="8"/>
        <v>Priest of Wisdom</v>
      </c>
      <c r="CS59" s="174" t="str">
        <f>CS2</f>
        <v>Barbarian (FRP)</v>
      </c>
      <c r="CT59" s="174" t="str">
        <f>CT2</f>
        <v>Outrider (FRP)</v>
      </c>
      <c r="CU59" s="174" t="str">
        <f>CU2</f>
        <v>Sage (FRP)</v>
      </c>
      <c r="CV59" s="174" t="str">
        <f>CV2</f>
        <v>Swashbuckler (FRP)</v>
      </c>
      <c r="CX59" s="174" t="s">
        <v>870</v>
      </c>
      <c r="CY59" s="174" t="s">
        <v>871</v>
      </c>
      <c r="CZ59" s="174" t="s">
        <v>872</v>
      </c>
      <c r="DA59" s="174" t="s">
        <v>1149</v>
      </c>
      <c r="DB59" s="174" t="s">
        <v>874</v>
      </c>
      <c r="DC59" s="174" t="s">
        <v>875</v>
      </c>
      <c r="DD59" s="174" t="s">
        <v>876</v>
      </c>
      <c r="DE59" s="174" t="str">
        <f>DE2</f>
        <v>NEW PROF</v>
      </c>
      <c r="DH59" s="182" t="s">
        <v>936</v>
      </c>
      <c r="DI59" s="182" t="s">
        <v>942</v>
      </c>
      <c r="DJ59" s="182">
        <v>4</v>
      </c>
      <c r="DK59" s="182"/>
      <c r="DL59" s="182"/>
      <c r="DM59" s="182"/>
      <c r="DN59" s="182"/>
      <c r="DO59" s="182">
        <v>4</v>
      </c>
      <c r="DP59" s="182"/>
      <c r="DQ59" s="182">
        <v>2</v>
      </c>
      <c r="DR59" s="182"/>
      <c r="DS59" s="182"/>
      <c r="DT59" s="182"/>
      <c r="DU59" s="182"/>
      <c r="DV59" s="182"/>
      <c r="DW59" s="182">
        <v>5</v>
      </c>
      <c r="DX59" s="182">
        <v>15</v>
      </c>
      <c r="DY59" s="182">
        <v>10</v>
      </c>
      <c r="DZ59" s="182">
        <v>4</v>
      </c>
      <c r="EA59" s="182">
        <v>0.75</v>
      </c>
      <c r="EB59" s="182">
        <f>DZ59*10</f>
        <v>40</v>
      </c>
      <c r="ED59" s="174" t="s">
        <v>942</v>
      </c>
      <c r="EE59" s="174">
        <v>6543</v>
      </c>
      <c r="EF59" s="174">
        <v>6543</v>
      </c>
      <c r="EG59" s="174">
        <v>7654</v>
      </c>
      <c r="EH59" s="174">
        <v>6453</v>
      </c>
      <c r="EI59" s="174">
        <v>6543</v>
      </c>
      <c r="EJ59" s="174">
        <v>6543</v>
      </c>
      <c r="EK59" s="174">
        <v>6543</v>
      </c>
      <c r="EL59" s="174">
        <v>7531</v>
      </c>
      <c r="EO59" s="174" t="s">
        <v>423</v>
      </c>
      <c r="EP59" s="174" t="s">
        <v>423</v>
      </c>
      <c r="HA59" s="174">
        <v>9</v>
      </c>
      <c r="HB59" s="197">
        <v>56</v>
      </c>
      <c r="HC59" s="194">
        <v>48</v>
      </c>
      <c r="HD59" s="238">
        <v>73</v>
      </c>
      <c r="HE59" s="236">
        <v>25</v>
      </c>
      <c r="HF59" s="183">
        <v>121</v>
      </c>
      <c r="HG59" s="193" t="e">
        <f t="shared" si="3"/>
        <v>#N/A</v>
      </c>
      <c r="HH59" s="192" t="e">
        <f t="shared" si="4"/>
        <v>#N/A</v>
      </c>
      <c r="HI59" s="198">
        <v>25</v>
      </c>
      <c r="HJ59" s="185">
        <v>118</v>
      </c>
      <c r="HK59" s="174">
        <v>57</v>
      </c>
      <c r="HL59" s="174">
        <v>301</v>
      </c>
      <c r="HM59" s="174">
        <v>288</v>
      </c>
      <c r="HN59" s="174">
        <v>241</v>
      </c>
      <c r="HO59" s="174">
        <v>177</v>
      </c>
      <c r="HP59" s="174">
        <v>167</v>
      </c>
      <c r="HQ59" s="174">
        <v>157</v>
      </c>
      <c r="HR59" s="174">
        <v>147</v>
      </c>
      <c r="HS59" s="174">
        <v>241</v>
      </c>
      <c r="HT59" s="174">
        <v>231</v>
      </c>
      <c r="HU59" s="174">
        <v>157</v>
      </c>
      <c r="HV59" s="174">
        <v>184</v>
      </c>
      <c r="HW59" s="174">
        <v>147</v>
      </c>
      <c r="HX59" s="174">
        <v>137</v>
      </c>
      <c r="HY59" s="174">
        <v>127</v>
      </c>
      <c r="HZ59" s="174">
        <v>117</v>
      </c>
      <c r="IA59" s="174">
        <v>174</v>
      </c>
      <c r="IB59" s="174">
        <v>154</v>
      </c>
      <c r="IC59" s="174">
        <v>117</v>
      </c>
      <c r="ID59" s="174">
        <v>87</v>
      </c>
      <c r="IE59" s="174">
        <v>67</v>
      </c>
      <c r="IF59" s="174">
        <v>59</v>
      </c>
      <c r="IM59" s="174">
        <v>2350000</v>
      </c>
      <c r="IN59" s="174">
        <v>57</v>
      </c>
    </row>
    <row r="60" spans="1:250" ht="13.35" customHeight="1" thickBot="1" x14ac:dyDescent="0.25">
      <c r="A60" s="183">
        <f t="shared" si="1"/>
        <v>59</v>
      </c>
      <c r="B60" s="183">
        <v>0</v>
      </c>
      <c r="C60" s="183">
        <f t="shared" si="2"/>
        <v>59</v>
      </c>
      <c r="D60" s="174">
        <v>3</v>
      </c>
      <c r="E60" s="189" t="s">
        <v>399</v>
      </c>
      <c r="F60" s="174">
        <v>10</v>
      </c>
      <c r="H60" s="174">
        <v>5</v>
      </c>
      <c r="U60" s="174">
        <v>5</v>
      </c>
      <c r="AD60" s="174">
        <v>5</v>
      </c>
      <c r="AJ60" s="174">
        <v>10</v>
      </c>
      <c r="AX60" s="174">
        <v>10</v>
      </c>
      <c r="AY60" s="174">
        <v>10</v>
      </c>
      <c r="AZ60" s="174">
        <v>5</v>
      </c>
      <c r="BA60" s="174">
        <v>10</v>
      </c>
      <c r="BE60" s="174">
        <v>5</v>
      </c>
      <c r="BF60" s="174">
        <v>5</v>
      </c>
      <c r="BG60" s="174">
        <v>5</v>
      </c>
      <c r="BI60" s="174">
        <v>10</v>
      </c>
      <c r="BK60" s="174">
        <v>10</v>
      </c>
      <c r="BN60" s="174">
        <v>10</v>
      </c>
      <c r="BP60" s="174">
        <v>10</v>
      </c>
      <c r="BT60" s="174">
        <v>5</v>
      </c>
      <c r="BV60" s="174">
        <v>10</v>
      </c>
      <c r="BX60" s="174">
        <v>5</v>
      </c>
      <c r="BY60" s="174">
        <v>5</v>
      </c>
      <c r="BZ60" s="174">
        <v>5</v>
      </c>
      <c r="CC60" s="174">
        <v>10</v>
      </c>
      <c r="CD60" s="174">
        <v>10</v>
      </c>
      <c r="CE60" s="174">
        <v>10</v>
      </c>
      <c r="CF60" s="174">
        <v>10</v>
      </c>
      <c r="CH60" s="174">
        <v>5</v>
      </c>
      <c r="CI60" s="174">
        <v>10</v>
      </c>
      <c r="CJ60" s="174">
        <v>10</v>
      </c>
      <c r="CK60" s="174">
        <v>10</v>
      </c>
      <c r="CL60" s="174">
        <v>5</v>
      </c>
      <c r="CM60" s="174">
        <v>10</v>
      </c>
      <c r="CO60" s="174">
        <v>10</v>
      </c>
      <c r="CP60" s="174">
        <v>5</v>
      </c>
      <c r="CQ60" s="174">
        <v>10</v>
      </c>
      <c r="CT60" s="174">
        <v>5</v>
      </c>
      <c r="CV60" s="174">
        <v>5</v>
      </c>
      <c r="DH60" s="174" t="s">
        <v>1034</v>
      </c>
      <c r="DI60" s="174" t="s">
        <v>910</v>
      </c>
      <c r="DJ60" s="174">
        <v>2</v>
      </c>
      <c r="DK60" s="174">
        <v>2</v>
      </c>
      <c r="DO60" s="174">
        <v>2</v>
      </c>
      <c r="DP60" s="174">
        <v>2</v>
      </c>
      <c r="DQ60" s="174">
        <v>-2</v>
      </c>
      <c r="DR60" s="174">
        <v>2</v>
      </c>
      <c r="DS60" s="174">
        <v>-2</v>
      </c>
      <c r="DY60" s="174">
        <v>12</v>
      </c>
      <c r="DZ60" s="174">
        <v>5</v>
      </c>
      <c r="EA60" s="174">
        <v>1</v>
      </c>
      <c r="EB60" s="174">
        <f>DZ60*10</f>
        <v>50</v>
      </c>
      <c r="ED60" s="174" t="s">
        <v>910</v>
      </c>
      <c r="EE60" s="174">
        <v>6543</v>
      </c>
      <c r="EF60" s="174">
        <v>6543</v>
      </c>
      <c r="EG60" s="174">
        <v>7654</v>
      </c>
      <c r="EH60" s="174">
        <v>6543</v>
      </c>
      <c r="EI60" s="174">
        <v>6543</v>
      </c>
      <c r="EJ60" s="174">
        <v>6543</v>
      </c>
      <c r="EK60" s="174">
        <v>6543</v>
      </c>
      <c r="EL60" s="174">
        <v>6421</v>
      </c>
      <c r="HA60" s="174">
        <v>10</v>
      </c>
      <c r="HB60" s="197">
        <v>57</v>
      </c>
      <c r="HC60" s="194">
        <v>49</v>
      </c>
      <c r="HD60" s="238">
        <v>74</v>
      </c>
      <c r="HE60" s="236">
        <v>25</v>
      </c>
      <c r="HF60" s="183">
        <v>122</v>
      </c>
      <c r="HG60" s="193" t="e">
        <f t="shared" si="3"/>
        <v>#N/A</v>
      </c>
      <c r="HH60" s="192" t="e">
        <f t="shared" si="4"/>
        <v>#N/A</v>
      </c>
      <c r="HI60" s="198">
        <v>25</v>
      </c>
      <c r="HJ60" s="185">
        <v>118.5</v>
      </c>
      <c r="HK60" s="174">
        <v>58</v>
      </c>
      <c r="HL60" s="174">
        <v>304</v>
      </c>
      <c r="HM60" s="174">
        <v>292</v>
      </c>
      <c r="HN60" s="174">
        <v>244</v>
      </c>
      <c r="HO60" s="174">
        <v>178</v>
      </c>
      <c r="HP60" s="174">
        <v>168</v>
      </c>
      <c r="HQ60" s="174">
        <v>158</v>
      </c>
      <c r="HR60" s="174">
        <v>148</v>
      </c>
      <c r="HS60" s="174">
        <v>244</v>
      </c>
      <c r="HT60" s="174">
        <v>234</v>
      </c>
      <c r="HU60" s="174">
        <v>158</v>
      </c>
      <c r="HV60" s="174">
        <v>186</v>
      </c>
      <c r="HW60" s="174">
        <v>148</v>
      </c>
      <c r="HX60" s="174">
        <v>138</v>
      </c>
      <c r="HY60" s="174">
        <v>128</v>
      </c>
      <c r="HZ60" s="174">
        <v>118</v>
      </c>
      <c r="IA60" s="174">
        <v>176</v>
      </c>
      <c r="IB60" s="174">
        <v>156</v>
      </c>
      <c r="IC60" s="174">
        <v>118</v>
      </c>
      <c r="ID60" s="174">
        <v>88</v>
      </c>
      <c r="IE60" s="174">
        <v>68</v>
      </c>
      <c r="IF60" s="174">
        <v>60</v>
      </c>
      <c r="IM60" s="174">
        <v>2400000</v>
      </c>
      <c r="IN60" s="174">
        <v>58</v>
      </c>
    </row>
    <row r="61" spans="1:250" ht="13.35" customHeight="1" thickBot="1" x14ac:dyDescent="0.25">
      <c r="A61" s="183">
        <f t="shared" si="1"/>
        <v>60</v>
      </c>
      <c r="B61" s="183">
        <v>0</v>
      </c>
      <c r="C61" s="183">
        <f t="shared" si="2"/>
        <v>60</v>
      </c>
      <c r="D61" s="174">
        <v>4</v>
      </c>
      <c r="E61" s="196" t="s">
        <v>405</v>
      </c>
      <c r="F61" s="174">
        <v>10</v>
      </c>
      <c r="H61" s="174">
        <v>5</v>
      </c>
      <c r="U61" s="174">
        <v>5</v>
      </c>
      <c r="AD61" s="174">
        <v>5</v>
      </c>
      <c r="AJ61" s="174">
        <v>10</v>
      </c>
      <c r="AX61" s="174">
        <v>10</v>
      </c>
      <c r="AY61" s="174">
        <v>10</v>
      </c>
      <c r="AZ61" s="174">
        <v>5</v>
      </c>
      <c r="BA61" s="174">
        <v>10</v>
      </c>
      <c r="BE61" s="174">
        <v>5</v>
      </c>
      <c r="BF61" s="174">
        <v>5</v>
      </c>
      <c r="BG61" s="174">
        <v>5</v>
      </c>
      <c r="BH61" s="174">
        <v>10</v>
      </c>
      <c r="BI61" s="174">
        <v>10</v>
      </c>
      <c r="BK61" s="174">
        <v>10</v>
      </c>
      <c r="BN61" s="174">
        <v>10</v>
      </c>
      <c r="BP61" s="174">
        <v>10</v>
      </c>
      <c r="BT61" s="174">
        <v>5</v>
      </c>
      <c r="BU61" s="174">
        <v>10</v>
      </c>
      <c r="BV61" s="174">
        <v>10</v>
      </c>
      <c r="BX61" s="174">
        <v>5</v>
      </c>
      <c r="BY61" s="174">
        <v>5</v>
      </c>
      <c r="BZ61" s="174">
        <v>5</v>
      </c>
      <c r="CC61" s="174">
        <v>10</v>
      </c>
      <c r="CD61" s="174">
        <v>10</v>
      </c>
      <c r="CE61" s="174">
        <v>10</v>
      </c>
      <c r="CF61" s="174">
        <v>10</v>
      </c>
      <c r="CH61" s="174">
        <v>5</v>
      </c>
      <c r="CI61" s="174">
        <v>10</v>
      </c>
      <c r="CJ61" s="174">
        <v>10</v>
      </c>
      <c r="CK61" s="174">
        <v>10</v>
      </c>
      <c r="CL61" s="174">
        <v>5</v>
      </c>
      <c r="CM61" s="174">
        <v>10</v>
      </c>
      <c r="CO61" s="174">
        <v>10</v>
      </c>
      <c r="CP61" s="174">
        <v>5</v>
      </c>
      <c r="CQ61" s="174">
        <v>10</v>
      </c>
      <c r="CT61" s="174">
        <v>5</v>
      </c>
      <c r="CV61" s="174">
        <v>5</v>
      </c>
      <c r="DH61" s="174" t="s">
        <v>1013</v>
      </c>
      <c r="DI61" s="174" t="s">
        <v>1150</v>
      </c>
      <c r="DJ61" s="174">
        <v>8</v>
      </c>
      <c r="DK61" s="174">
        <v>-2</v>
      </c>
      <c r="DL61" s="174">
        <v>-2</v>
      </c>
      <c r="DM61" s="174">
        <v>-2</v>
      </c>
      <c r="DO61" s="174">
        <v>4</v>
      </c>
      <c r="DQ61" s="174">
        <v>-4</v>
      </c>
      <c r="DR61" s="174">
        <v>-2</v>
      </c>
      <c r="DS61" s="174">
        <v>-2</v>
      </c>
      <c r="DW61" s="174">
        <v>20</v>
      </c>
      <c r="DX61" s="174">
        <v>5</v>
      </c>
      <c r="DY61" s="174">
        <v>1</v>
      </c>
      <c r="DZ61" s="174">
        <v>4</v>
      </c>
      <c r="EA61" s="174">
        <v>0.5</v>
      </c>
      <c r="EB61" s="174">
        <f>DZ61*10</f>
        <v>40</v>
      </c>
      <c r="ED61" s="174" t="s">
        <v>1150</v>
      </c>
      <c r="EE61" s="174">
        <v>5322</v>
      </c>
      <c r="EF61" s="174">
        <v>6543</v>
      </c>
      <c r="EG61" s="174">
        <v>5322</v>
      </c>
      <c r="EH61" s="174">
        <v>5322</v>
      </c>
      <c r="EI61" s="174">
        <v>5322</v>
      </c>
      <c r="EJ61" s="174">
        <v>5322</v>
      </c>
      <c r="EK61" s="174">
        <v>5322</v>
      </c>
      <c r="EL61" s="174">
        <v>7421</v>
      </c>
      <c r="EN61" s="182" t="s">
        <v>1151</v>
      </c>
      <c r="EO61" s="202" t="s">
        <v>1043</v>
      </c>
      <c r="EP61" s="182" t="s">
        <v>1043</v>
      </c>
      <c r="EQ61" s="202" t="s">
        <v>892</v>
      </c>
      <c r="ER61" s="202" t="s">
        <v>892</v>
      </c>
      <c r="ES61" s="182" t="s">
        <v>893</v>
      </c>
      <c r="ET61" s="202" t="s">
        <v>893</v>
      </c>
      <c r="EU61" s="202" t="s">
        <v>893</v>
      </c>
      <c r="EV61" s="202" t="s">
        <v>893</v>
      </c>
      <c r="EW61" s="202" t="s">
        <v>893</v>
      </c>
      <c r="EX61" s="202" t="s">
        <v>894</v>
      </c>
      <c r="EY61" s="182" t="s">
        <v>893</v>
      </c>
      <c r="EZ61" s="182" t="s">
        <v>893</v>
      </c>
      <c r="FA61" s="182" t="s">
        <v>893</v>
      </c>
      <c r="FB61" s="202" t="s">
        <v>895</v>
      </c>
      <c r="FC61" s="202" t="s">
        <v>4171</v>
      </c>
      <c r="FD61" s="202" t="s">
        <v>4173</v>
      </c>
      <c r="FE61" s="202" t="s">
        <v>4172</v>
      </c>
      <c r="FF61" s="202" t="s">
        <v>899</v>
      </c>
      <c r="FG61" s="202" t="s">
        <v>900</v>
      </c>
      <c r="FH61" s="202" t="s">
        <v>901</v>
      </c>
      <c r="FI61" s="202" t="s">
        <v>900</v>
      </c>
      <c r="FJ61" s="202" t="s">
        <v>900</v>
      </c>
      <c r="FK61" s="202" t="s">
        <v>900</v>
      </c>
      <c r="FL61" s="202" t="s">
        <v>900</v>
      </c>
      <c r="FM61" s="202" t="s">
        <v>900</v>
      </c>
      <c r="FN61" s="202" t="s">
        <v>900</v>
      </c>
      <c r="FO61" s="202" t="s">
        <v>900</v>
      </c>
      <c r="FP61" s="182" t="s">
        <v>900</v>
      </c>
      <c r="FQ61" s="202" t="s">
        <v>1117</v>
      </c>
      <c r="FR61" s="202" t="s">
        <v>1118</v>
      </c>
      <c r="FS61" s="202" t="s">
        <v>1049</v>
      </c>
      <c r="FT61" s="202" t="s">
        <v>1049</v>
      </c>
      <c r="FU61" s="202" t="s">
        <v>1049</v>
      </c>
      <c r="FV61" s="202" t="s">
        <v>906</v>
      </c>
      <c r="FW61" s="202" t="s">
        <v>906</v>
      </c>
      <c r="FX61" s="202" t="s">
        <v>906</v>
      </c>
      <c r="FY61" s="202" t="s">
        <v>906</v>
      </c>
      <c r="FZ61" s="202" t="s">
        <v>907</v>
      </c>
      <c r="GA61" s="202" t="s">
        <v>907</v>
      </c>
      <c r="GB61" s="202" t="s">
        <v>907</v>
      </c>
      <c r="GC61" s="202" t="s">
        <v>907</v>
      </c>
      <c r="GD61" s="182" t="s">
        <v>907</v>
      </c>
      <c r="GE61" s="202" t="s">
        <v>907</v>
      </c>
      <c r="GF61" s="202" t="s">
        <v>907</v>
      </c>
      <c r="GG61" s="202" t="s">
        <v>907</v>
      </c>
      <c r="GH61" s="202" t="s">
        <v>907</v>
      </c>
      <c r="GI61" s="202" t="s">
        <v>908</v>
      </c>
      <c r="GJ61" s="202" t="s">
        <v>909</v>
      </c>
      <c r="GK61" s="202" t="s">
        <v>910</v>
      </c>
      <c r="GL61" s="202" t="s">
        <v>911</v>
      </c>
      <c r="GM61" s="202" t="s">
        <v>912</v>
      </c>
      <c r="GN61" s="202" t="s">
        <v>913</v>
      </c>
      <c r="GO61" s="202" t="s">
        <v>914</v>
      </c>
      <c r="GP61" s="202" t="s">
        <v>915</v>
      </c>
      <c r="GQ61" s="202" t="s">
        <v>916</v>
      </c>
      <c r="GR61" s="182" t="s">
        <v>916</v>
      </c>
      <c r="GS61" s="182" t="s">
        <v>917</v>
      </c>
      <c r="GT61" s="182" t="s">
        <v>917</v>
      </c>
      <c r="GU61" s="182" t="s">
        <v>917</v>
      </c>
      <c r="GV61" s="182" t="s">
        <v>917</v>
      </c>
      <c r="GW61" s="182" t="s">
        <v>917</v>
      </c>
      <c r="GX61" s="182" t="s">
        <v>917</v>
      </c>
      <c r="GY61" s="182"/>
      <c r="GZ61" s="182"/>
      <c r="HB61" s="197">
        <v>58</v>
      </c>
      <c r="HC61" s="194">
        <v>49</v>
      </c>
      <c r="HD61" s="238">
        <v>74</v>
      </c>
      <c r="HE61" s="236">
        <v>25</v>
      </c>
      <c r="HF61" s="183">
        <v>123</v>
      </c>
      <c r="HG61" s="193" t="e">
        <f t="shared" si="3"/>
        <v>#N/A</v>
      </c>
      <c r="HH61" s="192" t="e">
        <f t="shared" si="4"/>
        <v>#N/A</v>
      </c>
      <c r="HI61" s="198">
        <v>25</v>
      </c>
      <c r="HJ61" s="185">
        <v>119</v>
      </c>
      <c r="HK61" s="174">
        <v>59</v>
      </c>
      <c r="HL61" s="174">
        <v>307</v>
      </c>
      <c r="HM61" s="174">
        <v>296</v>
      </c>
      <c r="HN61" s="174">
        <v>247</v>
      </c>
      <c r="HO61" s="174">
        <v>179</v>
      </c>
      <c r="HP61" s="174">
        <v>169</v>
      </c>
      <c r="HQ61" s="174">
        <v>159</v>
      </c>
      <c r="HR61" s="174">
        <v>149</v>
      </c>
      <c r="HS61" s="174">
        <v>247</v>
      </c>
      <c r="HT61" s="174">
        <v>237</v>
      </c>
      <c r="HU61" s="174">
        <v>159</v>
      </c>
      <c r="HV61" s="174">
        <v>188</v>
      </c>
      <c r="HW61" s="174">
        <v>149</v>
      </c>
      <c r="HX61" s="174">
        <v>139</v>
      </c>
      <c r="HY61" s="174">
        <v>129</v>
      </c>
      <c r="HZ61" s="174">
        <v>119</v>
      </c>
      <c r="IA61" s="174">
        <v>178</v>
      </c>
      <c r="IB61" s="174">
        <v>158</v>
      </c>
      <c r="IC61" s="174">
        <v>119</v>
      </c>
      <c r="ID61" s="174">
        <v>89</v>
      </c>
      <c r="IE61" s="174">
        <v>69</v>
      </c>
      <c r="IF61" s="174">
        <v>61</v>
      </c>
      <c r="IM61" s="174">
        <v>2450000</v>
      </c>
      <c r="IN61" s="174">
        <v>59</v>
      </c>
    </row>
    <row r="62" spans="1:250" ht="13.35" customHeight="1" thickBot="1" x14ac:dyDescent="0.25">
      <c r="A62" s="183">
        <f t="shared" si="1"/>
        <v>61</v>
      </c>
      <c r="B62" s="183">
        <v>0</v>
      </c>
      <c r="C62" s="183">
        <f t="shared" si="2"/>
        <v>61</v>
      </c>
      <c r="D62" s="174">
        <v>5</v>
      </c>
      <c r="E62" s="196" t="s">
        <v>410</v>
      </c>
      <c r="F62" s="174">
        <v>10</v>
      </c>
      <c r="H62" s="174">
        <v>5</v>
      </c>
      <c r="U62" s="174">
        <v>5</v>
      </c>
      <c r="AD62" s="174">
        <v>5</v>
      </c>
      <c r="AJ62" s="174">
        <v>10</v>
      </c>
      <c r="AX62" s="174">
        <v>10</v>
      </c>
      <c r="AY62" s="174">
        <v>10</v>
      </c>
      <c r="AZ62" s="174">
        <v>5</v>
      </c>
      <c r="BA62" s="174">
        <v>10</v>
      </c>
      <c r="BE62" s="174">
        <v>5</v>
      </c>
      <c r="BF62" s="174">
        <v>5</v>
      </c>
      <c r="BG62" s="174">
        <v>5</v>
      </c>
      <c r="BI62" s="174">
        <v>10</v>
      </c>
      <c r="BK62" s="174">
        <v>10</v>
      </c>
      <c r="BN62" s="174">
        <v>10</v>
      </c>
      <c r="BP62" s="174">
        <v>10</v>
      </c>
      <c r="BT62" s="174">
        <v>5</v>
      </c>
      <c r="BV62" s="174">
        <v>10</v>
      </c>
      <c r="BX62" s="174">
        <v>5</v>
      </c>
      <c r="BY62" s="174">
        <v>5</v>
      </c>
      <c r="BZ62" s="174">
        <v>5</v>
      </c>
      <c r="CC62" s="174">
        <v>10</v>
      </c>
      <c r="CD62" s="174">
        <v>10</v>
      </c>
      <c r="CE62" s="174">
        <v>10</v>
      </c>
      <c r="CF62" s="174">
        <v>10</v>
      </c>
      <c r="CH62" s="174">
        <v>5</v>
      </c>
      <c r="CI62" s="174">
        <v>10</v>
      </c>
      <c r="CJ62" s="174">
        <v>10</v>
      </c>
      <c r="CK62" s="174">
        <v>10</v>
      </c>
      <c r="CL62" s="174">
        <v>5</v>
      </c>
      <c r="CM62" s="174">
        <v>10</v>
      </c>
      <c r="CO62" s="174">
        <v>10</v>
      </c>
      <c r="CP62" s="174">
        <v>5</v>
      </c>
      <c r="CQ62" s="174">
        <v>10</v>
      </c>
      <c r="CT62" s="174">
        <v>5</v>
      </c>
      <c r="CV62" s="174">
        <v>5</v>
      </c>
      <c r="DH62" s="182" t="s">
        <v>907</v>
      </c>
      <c r="DI62" s="182" t="s">
        <v>966</v>
      </c>
      <c r="DJ62" s="182"/>
      <c r="DK62" s="182"/>
      <c r="DL62" s="182">
        <v>2</v>
      </c>
      <c r="DM62" s="182"/>
      <c r="DN62" s="182"/>
      <c r="DO62" s="182">
        <v>2</v>
      </c>
      <c r="DP62" s="182"/>
      <c r="DQ62" s="182">
        <v>-2</v>
      </c>
      <c r="DR62" s="182">
        <v>2</v>
      </c>
      <c r="DS62" s="182"/>
      <c r="DT62" s="182"/>
      <c r="DU62" s="182"/>
      <c r="DV62" s="182"/>
      <c r="DW62" s="182"/>
      <c r="DX62" s="182"/>
      <c r="DY62" s="182">
        <v>12</v>
      </c>
      <c r="DZ62" s="182">
        <v>6</v>
      </c>
      <c r="EA62" s="182">
        <v>1</v>
      </c>
      <c r="EB62" s="182">
        <v>55</v>
      </c>
      <c r="ED62" s="174" t="s">
        <v>966</v>
      </c>
      <c r="EE62" s="174">
        <v>6543</v>
      </c>
      <c r="EF62" s="174">
        <v>6543</v>
      </c>
      <c r="EG62" s="174">
        <v>7654</v>
      </c>
      <c r="EH62" s="174">
        <v>6543</v>
      </c>
      <c r="EI62" s="174">
        <v>6543</v>
      </c>
      <c r="EJ62" s="174">
        <v>6543</v>
      </c>
      <c r="EK62" s="174">
        <v>6543</v>
      </c>
      <c r="EL62" s="174">
        <v>6421</v>
      </c>
      <c r="EN62" s="182"/>
      <c r="EO62" s="182" t="s">
        <v>938</v>
      </c>
      <c r="EP62" s="182" t="s">
        <v>939</v>
      </c>
      <c r="EQ62" s="202" t="s">
        <v>940</v>
      </c>
      <c r="ER62" s="182" t="s">
        <v>941</v>
      </c>
      <c r="ES62" s="182" t="s">
        <v>942</v>
      </c>
      <c r="ET62" s="202" t="s">
        <v>943</v>
      </c>
      <c r="EU62" s="202" t="s">
        <v>944</v>
      </c>
      <c r="EV62" s="202" t="s">
        <v>945</v>
      </c>
      <c r="EW62" s="202" t="s">
        <v>946</v>
      </c>
      <c r="EX62" s="202" t="s">
        <v>894</v>
      </c>
      <c r="EY62" s="182" t="s">
        <v>937</v>
      </c>
      <c r="EZ62" s="182" t="s">
        <v>947</v>
      </c>
      <c r="FA62" s="182" t="s">
        <v>948</v>
      </c>
      <c r="FB62" s="202" t="s">
        <v>895</v>
      </c>
      <c r="FC62" s="202" t="s">
        <v>4171</v>
      </c>
      <c r="FD62" s="202" t="s">
        <v>4173</v>
      </c>
      <c r="FE62" s="202" t="s">
        <v>4172</v>
      </c>
      <c r="FF62" s="202" t="s">
        <v>899</v>
      </c>
      <c r="FG62" s="202" t="s">
        <v>949</v>
      </c>
      <c r="FH62" s="202" t="s">
        <v>178</v>
      </c>
      <c r="FI62" s="202" t="s">
        <v>950</v>
      </c>
      <c r="FJ62" s="202" t="s">
        <v>951</v>
      </c>
      <c r="FK62" s="202" t="s">
        <v>952</v>
      </c>
      <c r="FL62" s="202" t="s">
        <v>953</v>
      </c>
      <c r="FM62" s="202" t="s">
        <v>954</v>
      </c>
      <c r="FN62" s="202" t="s">
        <v>955</v>
      </c>
      <c r="FO62" s="202" t="s">
        <v>956</v>
      </c>
      <c r="FP62" s="182" t="s">
        <v>957</v>
      </c>
      <c r="FQ62" s="202" t="s">
        <v>958</v>
      </c>
      <c r="FR62" s="202" t="s">
        <v>959</v>
      </c>
      <c r="FS62" s="202" t="s">
        <v>960</v>
      </c>
      <c r="FT62" s="202" t="s">
        <v>961</v>
      </c>
      <c r="FU62" s="202" t="s">
        <v>962</v>
      </c>
      <c r="FV62" s="202" t="s">
        <v>906</v>
      </c>
      <c r="FW62" s="202" t="s">
        <v>963</v>
      </c>
      <c r="FX62" s="202" t="s">
        <v>964</v>
      </c>
      <c r="FY62" s="202" t="s">
        <v>965</v>
      </c>
      <c r="FZ62" s="202" t="s">
        <v>966</v>
      </c>
      <c r="GA62" s="202" t="s">
        <v>967</v>
      </c>
      <c r="GB62" s="202" t="s">
        <v>968</v>
      </c>
      <c r="GC62" s="202" t="s">
        <v>969</v>
      </c>
      <c r="GD62" s="182" t="s">
        <v>970</v>
      </c>
      <c r="GE62" s="202" t="s">
        <v>971</v>
      </c>
      <c r="GF62" s="202" t="s">
        <v>972</v>
      </c>
      <c r="GG62" s="202" t="s">
        <v>973</v>
      </c>
      <c r="GH62" s="202" t="s">
        <v>974</v>
      </c>
      <c r="GI62" s="202" t="s">
        <v>908</v>
      </c>
      <c r="GJ62" s="202" t="s">
        <v>909</v>
      </c>
      <c r="GK62" s="202" t="s">
        <v>910</v>
      </c>
      <c r="GL62" s="202" t="s">
        <v>911</v>
      </c>
      <c r="GM62" s="202" t="s">
        <v>975</v>
      </c>
      <c r="GN62" s="202" t="s">
        <v>913</v>
      </c>
      <c r="GO62" s="202" t="s">
        <v>914</v>
      </c>
      <c r="GP62" s="202" t="s">
        <v>915</v>
      </c>
      <c r="GQ62" s="202" t="s">
        <v>976</v>
      </c>
      <c r="GR62" s="182" t="s">
        <v>977</v>
      </c>
      <c r="GS62" s="182" t="s">
        <v>978</v>
      </c>
      <c r="GT62" s="182" t="s">
        <v>979</v>
      </c>
      <c r="GU62" s="182" t="s">
        <v>980</v>
      </c>
      <c r="GV62" s="182" t="s">
        <v>981</v>
      </c>
      <c r="GW62" s="182" t="s">
        <v>982</v>
      </c>
      <c r="GX62" s="182" t="s">
        <v>983</v>
      </c>
      <c r="GY62" s="182" t="s">
        <v>984</v>
      </c>
      <c r="GZ62" s="182" t="s">
        <v>985</v>
      </c>
      <c r="HA62" s="174">
        <v>1</v>
      </c>
      <c r="HB62" s="197">
        <v>59</v>
      </c>
      <c r="HC62" s="194">
        <v>50</v>
      </c>
      <c r="HD62" s="238">
        <v>75</v>
      </c>
      <c r="HE62" s="236">
        <v>25</v>
      </c>
      <c r="HF62" s="183">
        <v>124</v>
      </c>
      <c r="HG62" s="193" t="e">
        <f t="shared" si="3"/>
        <v>#N/A</v>
      </c>
      <c r="HH62" s="192" t="e">
        <f t="shared" si="4"/>
        <v>#N/A</v>
      </c>
      <c r="HI62" s="198">
        <v>25</v>
      </c>
      <c r="HJ62" s="185">
        <v>119.5</v>
      </c>
      <c r="HK62" s="182">
        <v>60</v>
      </c>
      <c r="HL62" s="182">
        <v>310</v>
      </c>
      <c r="HM62" s="182">
        <v>300</v>
      </c>
      <c r="HN62" s="182">
        <v>250</v>
      </c>
      <c r="HO62" s="182">
        <v>180</v>
      </c>
      <c r="HP62" s="182">
        <v>170</v>
      </c>
      <c r="HQ62" s="182">
        <v>160</v>
      </c>
      <c r="HR62" s="182">
        <v>150</v>
      </c>
      <c r="HS62" s="174">
        <v>250</v>
      </c>
      <c r="HT62" s="174">
        <v>240</v>
      </c>
      <c r="HU62" s="182">
        <v>160</v>
      </c>
      <c r="HV62" s="182">
        <v>190</v>
      </c>
      <c r="HW62" s="182">
        <v>150</v>
      </c>
      <c r="HX62" s="182">
        <v>140</v>
      </c>
      <c r="HY62" s="182">
        <v>130</v>
      </c>
      <c r="HZ62" s="182">
        <v>120</v>
      </c>
      <c r="IA62" s="174">
        <v>180</v>
      </c>
      <c r="IB62" s="182">
        <v>160</v>
      </c>
      <c r="IC62" s="182">
        <v>120</v>
      </c>
      <c r="ID62" s="182">
        <v>90</v>
      </c>
      <c r="IE62" s="182">
        <v>70</v>
      </c>
      <c r="IF62" s="182">
        <v>62</v>
      </c>
      <c r="IM62" s="174">
        <v>2500000</v>
      </c>
      <c r="IN62" s="174">
        <v>60</v>
      </c>
    </row>
    <row r="63" spans="1:250" ht="13.35" customHeight="1" thickBot="1" x14ac:dyDescent="0.25">
      <c r="A63" s="183">
        <f t="shared" si="1"/>
        <v>62</v>
      </c>
      <c r="B63" s="183">
        <v>0</v>
      </c>
      <c r="C63" s="183">
        <f t="shared" si="2"/>
        <v>62</v>
      </c>
      <c r="D63" s="174">
        <v>6</v>
      </c>
      <c r="E63" s="196" t="s">
        <v>412</v>
      </c>
      <c r="X63" s="174">
        <v>5</v>
      </c>
      <c r="AV63" s="174">
        <v>15</v>
      </c>
      <c r="BQ63" s="174">
        <v>10</v>
      </c>
      <c r="BY63" s="174">
        <v>15</v>
      </c>
      <c r="DH63" s="174" t="s">
        <v>1034</v>
      </c>
      <c r="DI63" s="174" t="s">
        <v>908</v>
      </c>
      <c r="DJ63" s="174">
        <v>2</v>
      </c>
      <c r="DK63" s="174">
        <v>2</v>
      </c>
      <c r="DO63" s="174">
        <v>2</v>
      </c>
      <c r="DP63" s="174">
        <v>2</v>
      </c>
      <c r="DQ63" s="174">
        <v>-2</v>
      </c>
      <c r="DR63" s="174">
        <v>2</v>
      </c>
      <c r="DS63" s="174">
        <v>-2</v>
      </c>
      <c r="DY63" s="174">
        <v>12</v>
      </c>
      <c r="DZ63" s="174">
        <v>5</v>
      </c>
      <c r="EA63" s="174">
        <v>1</v>
      </c>
      <c r="EB63" s="174">
        <f>DZ63*10</f>
        <v>50</v>
      </c>
      <c r="ED63" s="174" t="s">
        <v>908</v>
      </c>
      <c r="EE63" s="174">
        <v>6543</v>
      </c>
      <c r="EF63" s="174">
        <v>6543</v>
      </c>
      <c r="EG63" s="174">
        <v>7654</v>
      </c>
      <c r="EH63" s="174">
        <v>6543</v>
      </c>
      <c r="EI63" s="174">
        <v>6543</v>
      </c>
      <c r="EJ63" s="174">
        <v>6543</v>
      </c>
      <c r="EK63" s="174">
        <v>6543</v>
      </c>
      <c r="EL63" s="174">
        <v>6521</v>
      </c>
      <c r="EO63" s="174" t="s">
        <v>248</v>
      </c>
      <c r="EP63" s="174" t="s">
        <v>248</v>
      </c>
      <c r="EQ63" s="174" t="s">
        <v>248</v>
      </c>
      <c r="ER63" s="174" t="s">
        <v>248</v>
      </c>
      <c r="ES63" s="174" t="s">
        <v>248</v>
      </c>
      <c r="ET63" s="174" t="s">
        <v>248</v>
      </c>
      <c r="EU63" s="174" t="s">
        <v>248</v>
      </c>
      <c r="EV63" s="174" t="s">
        <v>248</v>
      </c>
      <c r="EW63" s="174" t="s">
        <v>248</v>
      </c>
      <c r="EX63" s="174" t="s">
        <v>248</v>
      </c>
      <c r="EY63" s="174" t="s">
        <v>248</v>
      </c>
      <c r="EZ63" s="174" t="s">
        <v>248</v>
      </c>
      <c r="FA63" s="174" t="s">
        <v>248</v>
      </c>
      <c r="FB63" s="174" t="s">
        <v>452</v>
      </c>
      <c r="FC63" s="174" t="s">
        <v>248</v>
      </c>
      <c r="FD63" s="174" t="s">
        <v>248</v>
      </c>
      <c r="FE63" s="174" t="s">
        <v>248</v>
      </c>
      <c r="FF63" s="174" t="s">
        <v>248</v>
      </c>
      <c r="FG63" s="174" t="s">
        <v>248</v>
      </c>
      <c r="FH63" s="174" t="s">
        <v>248</v>
      </c>
      <c r="FI63" s="174" t="s">
        <v>248</v>
      </c>
      <c r="FJ63" s="174" t="s">
        <v>248</v>
      </c>
      <c r="FK63" s="174" t="s">
        <v>248</v>
      </c>
      <c r="FL63" s="174" t="s">
        <v>248</v>
      </c>
      <c r="FM63" s="174" t="s">
        <v>248</v>
      </c>
      <c r="FN63" s="174" t="s">
        <v>248</v>
      </c>
      <c r="FO63" s="174" t="s">
        <v>248</v>
      </c>
      <c r="FP63" s="174" t="s">
        <v>248</v>
      </c>
      <c r="FQ63" s="174" t="s">
        <v>248</v>
      </c>
      <c r="FR63" s="174" t="s">
        <v>248</v>
      </c>
      <c r="FS63" s="174" t="s">
        <v>248</v>
      </c>
      <c r="FT63" s="174" t="s">
        <v>248</v>
      </c>
      <c r="FU63" s="174" t="s">
        <v>248</v>
      </c>
      <c r="FV63" s="174" t="s">
        <v>1152</v>
      </c>
      <c r="FW63" s="174" t="s">
        <v>1152</v>
      </c>
      <c r="FX63" s="174" t="s">
        <v>1152</v>
      </c>
      <c r="FY63" s="174" t="s">
        <v>1152</v>
      </c>
      <c r="FZ63" s="174" t="s">
        <v>248</v>
      </c>
      <c r="GA63" s="174" t="s">
        <v>248</v>
      </c>
      <c r="GB63" s="174" t="s">
        <v>248</v>
      </c>
      <c r="GC63" s="174" t="s">
        <v>248</v>
      </c>
      <c r="GD63" s="174" t="s">
        <v>248</v>
      </c>
      <c r="GE63" s="174" t="s">
        <v>248</v>
      </c>
      <c r="GF63" s="174" t="s">
        <v>248</v>
      </c>
      <c r="GG63" s="174" t="s">
        <v>248</v>
      </c>
      <c r="GH63" s="174" t="s">
        <v>248</v>
      </c>
      <c r="GL63" s="174" t="s">
        <v>1153</v>
      </c>
      <c r="GM63" s="174" t="s">
        <v>1153</v>
      </c>
      <c r="GN63" s="174" t="s">
        <v>553</v>
      </c>
      <c r="GQ63" s="174" t="s">
        <v>248</v>
      </c>
      <c r="GR63" s="174" t="s">
        <v>248</v>
      </c>
      <c r="HA63" s="174">
        <v>2</v>
      </c>
      <c r="HB63" s="197">
        <v>60</v>
      </c>
      <c r="HC63" s="194">
        <v>50</v>
      </c>
      <c r="HD63" s="238">
        <v>75</v>
      </c>
      <c r="HE63" s="236">
        <v>25</v>
      </c>
      <c r="HF63" s="183">
        <v>125</v>
      </c>
      <c r="HG63" s="193" t="e">
        <f t="shared" si="3"/>
        <v>#N/A</v>
      </c>
      <c r="HH63" s="192" t="e">
        <f t="shared" si="4"/>
        <v>#N/A</v>
      </c>
      <c r="HI63" s="198">
        <v>25</v>
      </c>
      <c r="HJ63" s="185">
        <v>120</v>
      </c>
      <c r="HK63" s="174">
        <v>61</v>
      </c>
      <c r="HL63" s="174">
        <v>313</v>
      </c>
      <c r="HM63" s="174">
        <v>304</v>
      </c>
      <c r="HN63" s="174">
        <v>253</v>
      </c>
      <c r="HO63" s="174">
        <v>181</v>
      </c>
      <c r="HP63" s="174">
        <v>171</v>
      </c>
      <c r="HQ63" s="174">
        <v>161</v>
      </c>
      <c r="HR63" s="174">
        <v>151</v>
      </c>
      <c r="HS63" s="174">
        <v>253</v>
      </c>
      <c r="HT63" s="174">
        <v>243</v>
      </c>
      <c r="HU63" s="174">
        <v>161</v>
      </c>
      <c r="HV63" s="174">
        <v>192</v>
      </c>
      <c r="HW63" s="174">
        <v>151</v>
      </c>
      <c r="HX63" s="174">
        <v>141</v>
      </c>
      <c r="HY63" s="174">
        <v>131</v>
      </c>
      <c r="HZ63" s="174">
        <v>121</v>
      </c>
      <c r="IA63" s="174">
        <v>182</v>
      </c>
      <c r="IB63" s="174">
        <v>162</v>
      </c>
      <c r="IC63" s="174">
        <v>121</v>
      </c>
      <c r="ID63" s="174">
        <v>91</v>
      </c>
      <c r="IE63" s="174">
        <v>71</v>
      </c>
      <c r="IF63" s="174">
        <v>63</v>
      </c>
      <c r="IM63" s="174">
        <v>2550000</v>
      </c>
      <c r="IN63" s="174">
        <v>61</v>
      </c>
    </row>
    <row r="64" spans="1:250" ht="13.35" customHeight="1" thickBot="1" x14ac:dyDescent="0.25">
      <c r="A64" s="183">
        <f t="shared" si="1"/>
        <v>63</v>
      </c>
      <c r="B64" s="183">
        <v>0</v>
      </c>
      <c r="C64" s="183">
        <f t="shared" si="2"/>
        <v>63</v>
      </c>
      <c r="D64" s="174">
        <v>7</v>
      </c>
      <c r="E64" s="196" t="s">
        <v>425</v>
      </c>
      <c r="AV64" s="174">
        <v>15</v>
      </c>
      <c r="AZ64" s="174">
        <v>10</v>
      </c>
      <c r="BQ64" s="174">
        <v>10</v>
      </c>
      <c r="BY64" s="174">
        <v>15</v>
      </c>
      <c r="DH64" s="174" t="s">
        <v>936</v>
      </c>
      <c r="DI64" s="174" t="s">
        <v>909</v>
      </c>
      <c r="DJ64" s="174">
        <v>4</v>
      </c>
      <c r="DO64" s="174">
        <v>4</v>
      </c>
      <c r="DQ64" s="174">
        <v>2</v>
      </c>
      <c r="DW64" s="174">
        <v>5</v>
      </c>
      <c r="DX64" s="174">
        <v>15</v>
      </c>
      <c r="DY64" s="174">
        <v>10</v>
      </c>
      <c r="DZ64" s="174">
        <v>4</v>
      </c>
      <c r="EA64" s="174">
        <v>0.75</v>
      </c>
      <c r="EB64" s="174">
        <f>DZ64*10</f>
        <v>40</v>
      </c>
      <c r="ED64" s="174" t="s">
        <v>909</v>
      </c>
      <c r="EE64" s="174">
        <v>6543</v>
      </c>
      <c r="EF64" s="174">
        <v>6543</v>
      </c>
      <c r="EG64" s="174">
        <v>7654</v>
      </c>
      <c r="EH64" s="174">
        <v>6453</v>
      </c>
      <c r="EI64" s="174">
        <v>6543</v>
      </c>
      <c r="EJ64" s="174">
        <v>6543</v>
      </c>
      <c r="EK64" s="174">
        <v>6543</v>
      </c>
      <c r="EL64" s="174">
        <v>7531</v>
      </c>
      <c r="FV64" s="174" t="s">
        <v>1154</v>
      </c>
      <c r="FW64" s="174" t="s">
        <v>1154</v>
      </c>
      <c r="FX64" s="174" t="s">
        <v>1154</v>
      </c>
      <c r="FY64" s="174" t="s">
        <v>1154</v>
      </c>
      <c r="GN64" s="174" t="s">
        <v>554</v>
      </c>
      <c r="HA64" s="174">
        <v>3</v>
      </c>
      <c r="HB64" s="197">
        <v>61</v>
      </c>
      <c r="HC64" s="194">
        <v>51</v>
      </c>
      <c r="HD64" s="238">
        <v>76</v>
      </c>
      <c r="HE64" s="236">
        <v>25</v>
      </c>
      <c r="HF64" s="183">
        <v>126</v>
      </c>
      <c r="HG64" s="193" t="e">
        <f t="shared" si="3"/>
        <v>#N/A</v>
      </c>
      <c r="HH64" s="192" t="e">
        <f t="shared" si="4"/>
        <v>#N/A</v>
      </c>
      <c r="HI64" s="198">
        <v>25</v>
      </c>
      <c r="HJ64" s="185">
        <v>120.5</v>
      </c>
      <c r="HK64" s="174">
        <v>62</v>
      </c>
      <c r="HL64" s="174">
        <v>316</v>
      </c>
      <c r="HM64" s="174">
        <v>308</v>
      </c>
      <c r="HN64" s="174">
        <v>256</v>
      </c>
      <c r="HO64" s="174">
        <v>182</v>
      </c>
      <c r="HP64" s="174">
        <v>172</v>
      </c>
      <c r="HQ64" s="174">
        <v>162</v>
      </c>
      <c r="HR64" s="174">
        <v>152</v>
      </c>
      <c r="HS64" s="174">
        <v>256</v>
      </c>
      <c r="HT64" s="174">
        <v>246</v>
      </c>
      <c r="HU64" s="174">
        <v>162</v>
      </c>
      <c r="HV64" s="174">
        <v>194</v>
      </c>
      <c r="HW64" s="174">
        <v>152</v>
      </c>
      <c r="HX64" s="174">
        <v>142</v>
      </c>
      <c r="HY64" s="174">
        <v>132</v>
      </c>
      <c r="HZ64" s="174">
        <v>122</v>
      </c>
      <c r="IA64" s="174">
        <v>184</v>
      </c>
      <c r="IB64" s="174">
        <v>164</v>
      </c>
      <c r="IC64" s="174">
        <v>122</v>
      </c>
      <c r="ID64" s="174">
        <v>92</v>
      </c>
      <c r="IE64" s="174">
        <v>72</v>
      </c>
      <c r="IF64" s="174">
        <v>64</v>
      </c>
      <c r="IH64" s="174">
        <v>6543</v>
      </c>
      <c r="IJ64" s="174">
        <v>6543</v>
      </c>
      <c r="IK64" s="174">
        <v>6543</v>
      </c>
      <c r="IL64" s="174">
        <v>6543</v>
      </c>
      <c r="IM64" s="174">
        <v>2600000</v>
      </c>
      <c r="IN64" s="174">
        <v>62</v>
      </c>
      <c r="IO64" s="174">
        <v>6543</v>
      </c>
      <c r="IP64" s="174">
        <v>7531</v>
      </c>
    </row>
    <row r="65" spans="1:248" ht="13.35" customHeight="1" thickBot="1" x14ac:dyDescent="0.25">
      <c r="A65" s="183">
        <f t="shared" si="1"/>
        <v>64</v>
      </c>
      <c r="B65" s="183">
        <v>0</v>
      </c>
      <c r="C65" s="183">
        <f t="shared" si="2"/>
        <v>64</v>
      </c>
      <c r="D65" s="174">
        <v>8</v>
      </c>
      <c r="E65" s="189" t="s">
        <v>434</v>
      </c>
      <c r="J65" s="174">
        <v>5</v>
      </c>
      <c r="T65" s="174">
        <v>5</v>
      </c>
      <c r="U65" s="174">
        <v>5</v>
      </c>
      <c r="AH65" s="174">
        <v>10</v>
      </c>
      <c r="AJ65" s="174">
        <v>5</v>
      </c>
      <c r="AQ65" s="174">
        <v>5</v>
      </c>
      <c r="AY65" s="174">
        <v>5</v>
      </c>
      <c r="CI65" s="174">
        <v>10</v>
      </c>
      <c r="CK65" s="174">
        <v>5</v>
      </c>
      <c r="CO65" s="174">
        <v>5</v>
      </c>
      <c r="CX65" s="174">
        <v>5</v>
      </c>
      <c r="DH65" s="174" t="s">
        <v>1011</v>
      </c>
      <c r="DI65" s="174" t="s">
        <v>982</v>
      </c>
      <c r="DJ65" s="174">
        <v>6</v>
      </c>
      <c r="DK65" s="174">
        <v>-4</v>
      </c>
      <c r="DL65" s="174">
        <v>-4</v>
      </c>
      <c r="DM65" s="174">
        <v>-4</v>
      </c>
      <c r="DN65" s="174">
        <v>-6</v>
      </c>
      <c r="DO65" s="174">
        <v>6</v>
      </c>
      <c r="DP65" s="174">
        <v>-4</v>
      </c>
      <c r="DQ65" s="174">
        <v>-4</v>
      </c>
      <c r="DR65" s="174">
        <v>-4</v>
      </c>
      <c r="DS65" s="174">
        <v>-6</v>
      </c>
      <c r="DW65" s="174">
        <v>30</v>
      </c>
      <c r="DX65" s="174">
        <v>10</v>
      </c>
      <c r="DY65" s="174">
        <v>1</v>
      </c>
      <c r="DZ65" s="174">
        <v>2</v>
      </c>
      <c r="EA65" s="174">
        <v>0.5</v>
      </c>
      <c r="EB65" s="174">
        <f>DZ65*10</f>
        <v>20</v>
      </c>
      <c r="ED65" s="174" t="s">
        <v>982</v>
      </c>
      <c r="EE65" s="174">
        <v>2111</v>
      </c>
      <c r="EF65" s="174">
        <v>2111</v>
      </c>
      <c r="EG65" s="174">
        <v>2111</v>
      </c>
      <c r="EH65" s="174">
        <v>2111</v>
      </c>
      <c r="EI65" s="174">
        <v>2111</v>
      </c>
      <c r="EJ65" s="174">
        <v>2111</v>
      </c>
      <c r="EK65" s="174">
        <v>2111</v>
      </c>
      <c r="EL65" s="174">
        <v>9853</v>
      </c>
      <c r="FV65" s="174" t="s">
        <v>1155</v>
      </c>
      <c r="FW65" s="174" t="s">
        <v>1155</v>
      </c>
      <c r="FX65" s="174" t="s">
        <v>1155</v>
      </c>
      <c r="FY65" s="174" t="s">
        <v>1155</v>
      </c>
      <c r="GN65" s="174" t="s">
        <v>555</v>
      </c>
      <c r="HA65" s="174">
        <v>4</v>
      </c>
      <c r="HB65" s="197">
        <v>62</v>
      </c>
      <c r="HC65" s="194">
        <v>51</v>
      </c>
      <c r="HD65" s="238">
        <v>76</v>
      </c>
      <c r="HE65" s="236">
        <v>25</v>
      </c>
      <c r="HF65" s="183">
        <v>127</v>
      </c>
      <c r="HG65" s="193" t="e">
        <f t="shared" si="3"/>
        <v>#N/A</v>
      </c>
      <c r="HH65" s="192" t="e">
        <f t="shared" si="4"/>
        <v>#N/A</v>
      </c>
      <c r="HI65" s="198">
        <v>25</v>
      </c>
      <c r="HJ65" s="185">
        <v>121</v>
      </c>
      <c r="HK65" s="174">
        <v>63</v>
      </c>
      <c r="HL65" s="174">
        <v>319</v>
      </c>
      <c r="HM65" s="174">
        <v>312</v>
      </c>
      <c r="HN65" s="174">
        <v>259</v>
      </c>
      <c r="HO65" s="174">
        <v>183</v>
      </c>
      <c r="HP65" s="174">
        <v>173</v>
      </c>
      <c r="HQ65" s="174">
        <v>163</v>
      </c>
      <c r="HR65" s="174">
        <v>153</v>
      </c>
      <c r="HS65" s="174">
        <v>259</v>
      </c>
      <c r="HT65" s="174">
        <v>249</v>
      </c>
      <c r="HU65" s="174">
        <v>163</v>
      </c>
      <c r="HV65" s="174">
        <v>196</v>
      </c>
      <c r="HW65" s="174">
        <v>153</v>
      </c>
      <c r="HX65" s="174">
        <v>143</v>
      </c>
      <c r="HY65" s="174">
        <v>133</v>
      </c>
      <c r="HZ65" s="174">
        <v>123</v>
      </c>
      <c r="IA65" s="174">
        <v>186</v>
      </c>
      <c r="IB65" s="174">
        <v>166</v>
      </c>
      <c r="IC65" s="174">
        <v>123</v>
      </c>
      <c r="ID65" s="174">
        <v>93</v>
      </c>
      <c r="IE65" s="174">
        <v>73</v>
      </c>
      <c r="IF65" s="174">
        <v>65</v>
      </c>
      <c r="IM65" s="174">
        <v>2650000</v>
      </c>
      <c r="IN65" s="174">
        <v>63</v>
      </c>
    </row>
    <row r="66" spans="1:248" ht="13.35" customHeight="1" thickBot="1" x14ac:dyDescent="0.25">
      <c r="A66" s="183">
        <f t="shared" si="1"/>
        <v>65</v>
      </c>
      <c r="B66" s="183">
        <v>0</v>
      </c>
      <c r="C66" s="183">
        <f t="shared" si="2"/>
        <v>65</v>
      </c>
      <c r="D66" s="174">
        <v>9</v>
      </c>
      <c r="E66" s="189" t="s">
        <v>441</v>
      </c>
      <c r="J66" s="174">
        <v>5</v>
      </c>
      <c r="T66" s="174">
        <v>5</v>
      </c>
      <c r="U66" s="174">
        <v>5</v>
      </c>
      <c r="AH66" s="174">
        <v>10</v>
      </c>
      <c r="AJ66" s="174">
        <v>5</v>
      </c>
      <c r="AQ66" s="174">
        <v>5</v>
      </c>
      <c r="AY66" s="174">
        <v>5</v>
      </c>
      <c r="CI66" s="174">
        <v>5</v>
      </c>
      <c r="CO66" s="174">
        <v>5</v>
      </c>
      <c r="CX66" s="174">
        <v>5</v>
      </c>
      <c r="DH66" s="182" t="s">
        <v>900</v>
      </c>
      <c r="DI66" s="182" t="s">
        <v>956</v>
      </c>
      <c r="DJ66" s="182">
        <v>2</v>
      </c>
      <c r="DK66" s="182"/>
      <c r="DL66" s="182">
        <v>2</v>
      </c>
      <c r="DM66" s="182"/>
      <c r="DN66" s="182"/>
      <c r="DO66" s="182">
        <v>2</v>
      </c>
      <c r="DP66" s="182"/>
      <c r="DQ66" s="182">
        <v>2</v>
      </c>
      <c r="DR66" s="182"/>
      <c r="DS66" s="182"/>
      <c r="DT66" s="182"/>
      <c r="DU66" s="182"/>
      <c r="DV66" s="182"/>
      <c r="DW66" s="182"/>
      <c r="DX66" s="182"/>
      <c r="DY66" s="182">
        <v>11</v>
      </c>
      <c r="DZ66" s="182">
        <v>5</v>
      </c>
      <c r="EA66" s="182">
        <v>0.9</v>
      </c>
      <c r="EB66" s="182">
        <v>45</v>
      </c>
      <c r="ED66" s="174" t="s">
        <v>956</v>
      </c>
      <c r="EE66" s="174">
        <v>6543</v>
      </c>
      <c r="EF66" s="174">
        <v>6543</v>
      </c>
      <c r="EG66" s="174">
        <v>7654</v>
      </c>
      <c r="EH66" s="174">
        <v>6543</v>
      </c>
      <c r="EI66" s="174">
        <v>6543</v>
      </c>
      <c r="EJ66" s="174">
        <v>6543</v>
      </c>
      <c r="EK66" s="174">
        <v>6543</v>
      </c>
      <c r="EL66" s="174">
        <v>7521</v>
      </c>
      <c r="HA66" s="174">
        <v>5</v>
      </c>
      <c r="HB66" s="197">
        <v>63</v>
      </c>
      <c r="HC66" s="194">
        <v>52</v>
      </c>
      <c r="HD66" s="238">
        <v>77</v>
      </c>
      <c r="HE66" s="236">
        <v>25</v>
      </c>
      <c r="HF66" s="183">
        <v>128</v>
      </c>
      <c r="HG66" s="193" t="e">
        <f t="shared" si="3"/>
        <v>#N/A</v>
      </c>
      <c r="HH66" s="192" t="e">
        <f t="shared" si="4"/>
        <v>#N/A</v>
      </c>
      <c r="HI66" s="198">
        <v>25</v>
      </c>
      <c r="HJ66" s="185">
        <v>121.5</v>
      </c>
      <c r="HK66" s="174">
        <v>64</v>
      </c>
      <c r="HL66" s="174">
        <v>322</v>
      </c>
      <c r="HM66" s="174">
        <v>316</v>
      </c>
      <c r="HN66" s="174">
        <v>262</v>
      </c>
      <c r="HO66" s="174">
        <v>184</v>
      </c>
      <c r="HP66" s="174">
        <v>174</v>
      </c>
      <c r="HQ66" s="174">
        <v>164</v>
      </c>
      <c r="HR66" s="174">
        <v>154</v>
      </c>
      <c r="HS66" s="174">
        <v>262</v>
      </c>
      <c r="HT66" s="174">
        <v>252</v>
      </c>
      <c r="HU66" s="174">
        <v>164</v>
      </c>
      <c r="HV66" s="174">
        <v>198</v>
      </c>
      <c r="HW66" s="174">
        <v>154</v>
      </c>
      <c r="HX66" s="174">
        <v>144</v>
      </c>
      <c r="HY66" s="174">
        <v>134</v>
      </c>
      <c r="HZ66" s="174">
        <v>124</v>
      </c>
      <c r="IA66" s="174">
        <v>188</v>
      </c>
      <c r="IB66" s="174">
        <v>168</v>
      </c>
      <c r="IC66" s="174">
        <v>124</v>
      </c>
      <c r="ID66" s="174">
        <v>94</v>
      </c>
      <c r="IE66" s="174">
        <v>74</v>
      </c>
      <c r="IF66" s="174">
        <v>66</v>
      </c>
      <c r="IM66" s="174">
        <v>2700000</v>
      </c>
      <c r="IN66" s="174">
        <v>64</v>
      </c>
    </row>
    <row r="67" spans="1:248" ht="13.35" customHeight="1" thickBot="1" x14ac:dyDescent="0.25">
      <c r="A67" s="183">
        <f t="shared" ref="A67:A130" si="9">A66+1</f>
        <v>66</v>
      </c>
      <c r="B67" s="183">
        <v>0</v>
      </c>
      <c r="C67" s="183">
        <f t="shared" ref="C67:C91" si="10">C66+1</f>
        <v>66</v>
      </c>
      <c r="D67" s="174">
        <v>10</v>
      </c>
      <c r="E67" s="189" t="s">
        <v>454</v>
      </c>
      <c r="G67" s="174">
        <v>5</v>
      </c>
      <c r="H67" s="174">
        <v>5</v>
      </c>
      <c r="I67" s="174">
        <v>5</v>
      </c>
      <c r="J67" s="174">
        <v>5</v>
      </c>
      <c r="T67" s="174">
        <v>5</v>
      </c>
      <c r="U67" s="174">
        <v>5</v>
      </c>
      <c r="V67" s="174">
        <v>5</v>
      </c>
      <c r="AH67" s="174">
        <v>10</v>
      </c>
      <c r="AJ67" s="174">
        <v>5</v>
      </c>
      <c r="AQ67" s="174">
        <v>5</v>
      </c>
      <c r="AV67" s="174">
        <v>5</v>
      </c>
      <c r="AY67" s="174">
        <v>5</v>
      </c>
      <c r="CX67" s="174">
        <v>5</v>
      </c>
      <c r="DH67" s="182" t="s">
        <v>975</v>
      </c>
      <c r="DI67" s="182" t="s">
        <v>975</v>
      </c>
      <c r="DJ67" s="182">
        <v>2</v>
      </c>
      <c r="DK67" s="182"/>
      <c r="DL67" s="182">
        <v>4</v>
      </c>
      <c r="DM67" s="182"/>
      <c r="DN67" s="182"/>
      <c r="DO67" s="182"/>
      <c r="DP67" s="182"/>
      <c r="DQ67" s="182">
        <v>-2</v>
      </c>
      <c r="DR67" s="182"/>
      <c r="DS67" s="182">
        <v>4</v>
      </c>
      <c r="DT67" s="182">
        <v>20</v>
      </c>
      <c r="DU67" s="182"/>
      <c r="DV67" s="182"/>
      <c r="DW67" s="182"/>
      <c r="DX67" s="182"/>
      <c r="DY67" s="182">
        <v>12</v>
      </c>
      <c r="DZ67" s="182">
        <v>5</v>
      </c>
      <c r="EA67" s="182">
        <v>1</v>
      </c>
      <c r="EB67" s="182">
        <v>45</v>
      </c>
      <c r="ED67" s="174" t="s">
        <v>975</v>
      </c>
      <c r="EE67" s="174">
        <v>6543</v>
      </c>
      <c r="EF67" s="174">
        <v>6543</v>
      </c>
      <c r="EG67" s="174">
        <v>6543</v>
      </c>
      <c r="EH67" s="174">
        <v>6543</v>
      </c>
      <c r="EI67" s="174">
        <v>6543</v>
      </c>
      <c r="EJ67" s="174">
        <v>6543</v>
      </c>
      <c r="EK67" s="174">
        <v>6543</v>
      </c>
      <c r="EL67" s="174">
        <v>7531</v>
      </c>
      <c r="HA67" s="174">
        <v>6</v>
      </c>
      <c r="HB67" s="197">
        <v>64</v>
      </c>
      <c r="HC67" s="194">
        <v>52</v>
      </c>
      <c r="HD67" s="238">
        <v>77</v>
      </c>
      <c r="HE67" s="236">
        <v>25</v>
      </c>
      <c r="HF67" s="183">
        <v>129</v>
      </c>
      <c r="HG67" s="193" t="e">
        <f t="shared" ref="HG67:HG130" si="11">HLOOKUP($B$154,$HK$1:$IF$202,$IF66,0)</f>
        <v>#N/A</v>
      </c>
      <c r="HH67" s="192" t="e">
        <f t="shared" si="4"/>
        <v>#N/A</v>
      </c>
      <c r="HI67" s="198">
        <v>25</v>
      </c>
      <c r="HJ67" s="185">
        <v>122</v>
      </c>
      <c r="HK67" s="174">
        <v>65</v>
      </c>
      <c r="HL67" s="174">
        <v>325</v>
      </c>
      <c r="HM67" s="174">
        <v>320</v>
      </c>
      <c r="HN67" s="174">
        <v>265</v>
      </c>
      <c r="HO67" s="174">
        <v>185</v>
      </c>
      <c r="HP67" s="174">
        <v>175</v>
      </c>
      <c r="HQ67" s="174">
        <v>165</v>
      </c>
      <c r="HR67" s="174">
        <v>155</v>
      </c>
      <c r="HS67" s="174">
        <v>265</v>
      </c>
      <c r="HT67" s="174">
        <v>255</v>
      </c>
      <c r="HU67" s="174">
        <v>165</v>
      </c>
      <c r="HV67" s="174">
        <v>200</v>
      </c>
      <c r="HW67" s="174">
        <v>155</v>
      </c>
      <c r="HX67" s="174">
        <v>145</v>
      </c>
      <c r="HY67" s="174">
        <v>135</v>
      </c>
      <c r="HZ67" s="174">
        <v>125</v>
      </c>
      <c r="IA67" s="174">
        <v>190</v>
      </c>
      <c r="IB67" s="174">
        <v>170</v>
      </c>
      <c r="IC67" s="174">
        <v>125</v>
      </c>
      <c r="ID67" s="174">
        <v>95</v>
      </c>
      <c r="IE67" s="174">
        <v>75</v>
      </c>
      <c r="IF67" s="174">
        <v>67</v>
      </c>
      <c r="IM67" s="174">
        <v>2750000</v>
      </c>
      <c r="IN67" s="174">
        <v>65</v>
      </c>
    </row>
    <row r="68" spans="1:248" ht="13.35" customHeight="1" thickBot="1" x14ac:dyDescent="0.25">
      <c r="A68" s="183">
        <f t="shared" si="9"/>
        <v>67</v>
      </c>
      <c r="B68" s="183">
        <v>0</v>
      </c>
      <c r="C68" s="183">
        <f t="shared" si="10"/>
        <v>67</v>
      </c>
      <c r="D68" s="174">
        <v>11</v>
      </c>
      <c r="E68" s="189" t="s">
        <v>477</v>
      </c>
      <c r="G68" s="174">
        <v>10</v>
      </c>
      <c r="H68" s="174">
        <v>5</v>
      </c>
      <c r="I68" s="174">
        <v>5</v>
      </c>
      <c r="J68" s="174">
        <v>5</v>
      </c>
      <c r="L68" s="174">
        <v>5</v>
      </c>
      <c r="M68" s="174">
        <v>5</v>
      </c>
      <c r="N68" s="174">
        <v>5</v>
      </c>
      <c r="O68" s="174">
        <v>5</v>
      </c>
      <c r="P68" s="174">
        <v>5</v>
      </c>
      <c r="Q68" s="174">
        <v>5</v>
      </c>
      <c r="R68" s="174">
        <v>5</v>
      </c>
      <c r="T68" s="174">
        <v>10</v>
      </c>
      <c r="U68" s="174">
        <v>5</v>
      </c>
      <c r="V68" s="174">
        <v>5</v>
      </c>
      <c r="W68" s="174">
        <v>10</v>
      </c>
      <c r="X68" s="174">
        <v>5</v>
      </c>
      <c r="Y68" s="174">
        <v>10</v>
      </c>
      <c r="AD68" s="174">
        <v>5</v>
      </c>
      <c r="AH68" s="174">
        <v>5</v>
      </c>
      <c r="AK68" s="174">
        <v>5</v>
      </c>
      <c r="AL68" s="174">
        <v>15</v>
      </c>
      <c r="AM68" s="174">
        <v>10</v>
      </c>
      <c r="AP68" s="174">
        <v>5</v>
      </c>
      <c r="AQ68" s="174">
        <v>5</v>
      </c>
      <c r="BB68" s="174">
        <v>10</v>
      </c>
      <c r="BC68" s="174">
        <v>10</v>
      </c>
      <c r="BF68" s="174">
        <v>10</v>
      </c>
      <c r="BG68" s="174">
        <v>10</v>
      </c>
      <c r="BJ68" s="174">
        <v>5</v>
      </c>
      <c r="BL68" s="174">
        <v>5</v>
      </c>
      <c r="BN68" s="174">
        <v>5</v>
      </c>
      <c r="BO68" s="174">
        <v>5</v>
      </c>
      <c r="BR68" s="174">
        <v>5</v>
      </c>
      <c r="BW68" s="174">
        <v>10</v>
      </c>
      <c r="CA68" s="174">
        <v>5</v>
      </c>
      <c r="CC68" s="174">
        <v>5</v>
      </c>
      <c r="CD68" s="174">
        <v>5</v>
      </c>
      <c r="CG68" s="174">
        <v>5</v>
      </c>
      <c r="CJ68" s="174">
        <v>5</v>
      </c>
      <c r="CL68" s="174">
        <v>10</v>
      </c>
      <c r="CN68" s="174">
        <v>10</v>
      </c>
      <c r="CS68" s="174">
        <v>5</v>
      </c>
      <c r="CT68" s="174">
        <v>10</v>
      </c>
      <c r="CU68" s="174">
        <v>5</v>
      </c>
      <c r="CX68" s="174">
        <v>5</v>
      </c>
      <c r="CY68" s="174">
        <v>5</v>
      </c>
      <c r="CZ68" s="174">
        <v>5</v>
      </c>
      <c r="DA68" s="174">
        <v>5</v>
      </c>
      <c r="HA68" s="174">
        <v>7</v>
      </c>
      <c r="HB68" s="197">
        <v>65</v>
      </c>
      <c r="HC68" s="194">
        <v>53</v>
      </c>
      <c r="HD68" s="238">
        <v>78</v>
      </c>
      <c r="HE68" s="236">
        <v>25</v>
      </c>
      <c r="HF68" s="183">
        <v>130</v>
      </c>
      <c r="HG68" s="193" t="e">
        <f t="shared" si="11"/>
        <v>#N/A</v>
      </c>
      <c r="HH68" s="192" t="e">
        <f t="shared" ref="HH68:HH131" si="12">HLOOKUP($B$155,$HK$1:$IG$202,$IF67,0)</f>
        <v>#N/A</v>
      </c>
      <c r="HI68" s="198">
        <v>25</v>
      </c>
      <c r="HJ68" s="185">
        <v>122.5</v>
      </c>
      <c r="HK68" s="174">
        <v>66</v>
      </c>
      <c r="HL68" s="174">
        <v>328</v>
      </c>
      <c r="HM68" s="174">
        <v>324</v>
      </c>
      <c r="HN68" s="174">
        <v>268</v>
      </c>
      <c r="HO68" s="174">
        <v>186</v>
      </c>
      <c r="HP68" s="174">
        <v>176</v>
      </c>
      <c r="HQ68" s="174">
        <v>166</v>
      </c>
      <c r="HR68" s="174">
        <v>156</v>
      </c>
      <c r="HS68" s="174">
        <v>268</v>
      </c>
      <c r="HT68" s="174">
        <v>258</v>
      </c>
      <c r="HU68" s="174">
        <v>166</v>
      </c>
      <c r="HV68" s="174">
        <v>202</v>
      </c>
      <c r="HW68" s="174">
        <v>156</v>
      </c>
      <c r="HX68" s="174">
        <v>146</v>
      </c>
      <c r="HY68" s="174">
        <v>136</v>
      </c>
      <c r="HZ68" s="174">
        <v>126</v>
      </c>
      <c r="IA68" s="174">
        <v>192</v>
      </c>
      <c r="IB68" s="174">
        <v>172</v>
      </c>
      <c r="IC68" s="174">
        <v>126</v>
      </c>
      <c r="ID68" s="174">
        <v>96</v>
      </c>
      <c r="IE68" s="174">
        <v>76</v>
      </c>
      <c r="IF68" s="174">
        <v>68</v>
      </c>
      <c r="IM68" s="174">
        <v>2800000</v>
      </c>
      <c r="IN68" s="174">
        <v>66</v>
      </c>
    </row>
    <row r="69" spans="1:248" ht="13.35" customHeight="1" thickBot="1" x14ac:dyDescent="0.25">
      <c r="A69" s="183">
        <f t="shared" si="9"/>
        <v>68</v>
      </c>
      <c r="B69" s="183">
        <v>0</v>
      </c>
      <c r="C69" s="183">
        <f t="shared" si="10"/>
        <v>68</v>
      </c>
      <c r="D69" s="174">
        <v>12</v>
      </c>
      <c r="E69" s="189" t="s">
        <v>482</v>
      </c>
      <c r="G69" s="174">
        <v>10</v>
      </c>
      <c r="H69" s="174">
        <v>5</v>
      </c>
      <c r="I69" s="174">
        <v>5</v>
      </c>
      <c r="J69" s="174">
        <v>5</v>
      </c>
      <c r="L69" s="174">
        <v>5</v>
      </c>
      <c r="M69" s="174">
        <v>5</v>
      </c>
      <c r="N69" s="174">
        <v>5</v>
      </c>
      <c r="O69" s="174">
        <v>5</v>
      </c>
      <c r="P69" s="174">
        <v>5</v>
      </c>
      <c r="Q69" s="174">
        <v>5</v>
      </c>
      <c r="R69" s="174">
        <v>5</v>
      </c>
      <c r="T69" s="174">
        <v>10</v>
      </c>
      <c r="U69" s="174">
        <v>5</v>
      </c>
      <c r="V69" s="174">
        <v>5</v>
      </c>
      <c r="W69" s="174">
        <v>10</v>
      </c>
      <c r="X69" s="174">
        <v>5</v>
      </c>
      <c r="Y69" s="174">
        <v>10</v>
      </c>
      <c r="AD69" s="174">
        <v>5</v>
      </c>
      <c r="AH69" s="174">
        <v>5</v>
      </c>
      <c r="AK69" s="174">
        <v>5</v>
      </c>
      <c r="AL69" s="174">
        <v>15</v>
      </c>
      <c r="AM69" s="174">
        <v>10</v>
      </c>
      <c r="AP69" s="174">
        <v>5</v>
      </c>
      <c r="AQ69" s="174">
        <v>5</v>
      </c>
      <c r="BB69" s="174">
        <v>10</v>
      </c>
      <c r="BC69" s="174">
        <v>10</v>
      </c>
      <c r="BF69" s="174">
        <v>10</v>
      </c>
      <c r="BG69" s="174">
        <v>10</v>
      </c>
      <c r="BJ69" s="174">
        <v>5</v>
      </c>
      <c r="BL69" s="174">
        <v>5</v>
      </c>
      <c r="BM69" s="174">
        <v>10</v>
      </c>
      <c r="BN69" s="174">
        <v>5</v>
      </c>
      <c r="BO69" s="174">
        <v>5</v>
      </c>
      <c r="BR69" s="174">
        <v>5</v>
      </c>
      <c r="BW69" s="174">
        <v>10</v>
      </c>
      <c r="CA69" s="174">
        <v>5</v>
      </c>
      <c r="CC69" s="174">
        <v>5</v>
      </c>
      <c r="CD69" s="174">
        <v>5</v>
      </c>
      <c r="CG69" s="174">
        <v>5</v>
      </c>
      <c r="CJ69" s="174">
        <v>5</v>
      </c>
      <c r="CL69" s="174">
        <v>10</v>
      </c>
      <c r="CN69" s="174">
        <v>10</v>
      </c>
      <c r="CS69" s="174">
        <v>5</v>
      </c>
      <c r="CT69" s="174">
        <v>10</v>
      </c>
      <c r="CU69" s="174">
        <v>5</v>
      </c>
      <c r="CX69" s="174">
        <v>5</v>
      </c>
      <c r="CY69" s="174">
        <v>5</v>
      </c>
      <c r="CZ69" s="174">
        <v>5</v>
      </c>
      <c r="DA69" s="174">
        <v>5</v>
      </c>
      <c r="EN69" s="182" t="s">
        <v>1156</v>
      </c>
      <c r="EO69" s="202" t="s">
        <v>1043</v>
      </c>
      <c r="EP69" s="182" t="s">
        <v>1043</v>
      </c>
      <c r="EQ69" s="202" t="s">
        <v>892</v>
      </c>
      <c r="ER69" s="202" t="s">
        <v>892</v>
      </c>
      <c r="ES69" s="182" t="s">
        <v>893</v>
      </c>
      <c r="ET69" s="202" t="s">
        <v>893</v>
      </c>
      <c r="EU69" s="202" t="s">
        <v>893</v>
      </c>
      <c r="EV69" s="202" t="s">
        <v>893</v>
      </c>
      <c r="EW69" s="202" t="s">
        <v>893</v>
      </c>
      <c r="EX69" s="202" t="s">
        <v>894</v>
      </c>
      <c r="EY69" s="182" t="s">
        <v>893</v>
      </c>
      <c r="EZ69" s="182" t="s">
        <v>893</v>
      </c>
      <c r="FA69" s="182" t="s">
        <v>893</v>
      </c>
      <c r="FB69" s="202" t="s">
        <v>895</v>
      </c>
      <c r="FC69" s="202" t="s">
        <v>4171</v>
      </c>
      <c r="FD69" s="202" t="s">
        <v>4173</v>
      </c>
      <c r="FE69" s="202" t="s">
        <v>4172</v>
      </c>
      <c r="FF69" s="202" t="s">
        <v>899</v>
      </c>
      <c r="FG69" s="202" t="s">
        <v>900</v>
      </c>
      <c r="FH69" s="202" t="s">
        <v>901</v>
      </c>
      <c r="FI69" s="202" t="s">
        <v>900</v>
      </c>
      <c r="FJ69" s="202" t="s">
        <v>900</v>
      </c>
      <c r="FK69" s="202" t="s">
        <v>900</v>
      </c>
      <c r="FL69" s="202" t="s">
        <v>900</v>
      </c>
      <c r="FM69" s="202" t="s">
        <v>900</v>
      </c>
      <c r="FN69" s="202" t="s">
        <v>900</v>
      </c>
      <c r="FO69" s="202" t="s">
        <v>900</v>
      </c>
      <c r="FP69" s="182" t="s">
        <v>900</v>
      </c>
      <c r="FQ69" s="202" t="s">
        <v>1117</v>
      </c>
      <c r="FR69" s="202" t="s">
        <v>1118</v>
      </c>
      <c r="FS69" s="202" t="s">
        <v>1049</v>
      </c>
      <c r="FT69" s="202" t="s">
        <v>1049</v>
      </c>
      <c r="FU69" s="202" t="s">
        <v>1049</v>
      </c>
      <c r="FV69" s="202" t="s">
        <v>906</v>
      </c>
      <c r="FW69" s="202" t="s">
        <v>906</v>
      </c>
      <c r="FX69" s="202" t="s">
        <v>906</v>
      </c>
      <c r="FY69" s="202" t="s">
        <v>906</v>
      </c>
      <c r="FZ69" s="202" t="s">
        <v>907</v>
      </c>
      <c r="GA69" s="202" t="s">
        <v>907</v>
      </c>
      <c r="GB69" s="202" t="s">
        <v>907</v>
      </c>
      <c r="GC69" s="202" t="s">
        <v>907</v>
      </c>
      <c r="GD69" s="182" t="s">
        <v>907</v>
      </c>
      <c r="GE69" s="202" t="s">
        <v>907</v>
      </c>
      <c r="GF69" s="202" t="s">
        <v>907</v>
      </c>
      <c r="GG69" s="202" t="s">
        <v>907</v>
      </c>
      <c r="GH69" s="202" t="s">
        <v>907</v>
      </c>
      <c r="GI69" s="202" t="s">
        <v>908</v>
      </c>
      <c r="GJ69" s="202" t="s">
        <v>909</v>
      </c>
      <c r="GK69" s="202" t="s">
        <v>910</v>
      </c>
      <c r="GL69" s="202" t="s">
        <v>911</v>
      </c>
      <c r="GM69" s="202" t="s">
        <v>912</v>
      </c>
      <c r="GN69" s="202" t="s">
        <v>913</v>
      </c>
      <c r="GO69" s="202" t="s">
        <v>914</v>
      </c>
      <c r="GP69" s="202" t="s">
        <v>915</v>
      </c>
      <c r="GQ69" s="202" t="s">
        <v>916</v>
      </c>
      <c r="GR69" s="182" t="s">
        <v>916</v>
      </c>
      <c r="GS69" s="182" t="s">
        <v>917</v>
      </c>
      <c r="GT69" s="182" t="s">
        <v>917</v>
      </c>
      <c r="GU69" s="182" t="s">
        <v>917</v>
      </c>
      <c r="GV69" s="182" t="s">
        <v>917</v>
      </c>
      <c r="GW69" s="182" t="s">
        <v>917</v>
      </c>
      <c r="GX69" s="182" t="s">
        <v>917</v>
      </c>
      <c r="GY69" s="182"/>
      <c r="GZ69" s="182"/>
      <c r="HB69" s="197">
        <v>66</v>
      </c>
      <c r="HC69" s="194">
        <v>53</v>
      </c>
      <c r="HD69" s="238">
        <v>78</v>
      </c>
      <c r="HE69" s="236">
        <v>25</v>
      </c>
      <c r="HF69" s="183">
        <v>131</v>
      </c>
      <c r="HG69" s="193" t="e">
        <f t="shared" si="11"/>
        <v>#N/A</v>
      </c>
      <c r="HH69" s="192" t="e">
        <f t="shared" si="12"/>
        <v>#N/A</v>
      </c>
      <c r="HI69" s="198">
        <v>25</v>
      </c>
      <c r="HJ69" s="185">
        <v>123</v>
      </c>
      <c r="HK69" s="174">
        <v>67</v>
      </c>
      <c r="HL69" s="174">
        <v>331</v>
      </c>
      <c r="HM69" s="174">
        <v>328</v>
      </c>
      <c r="HN69" s="174">
        <v>271</v>
      </c>
      <c r="HO69" s="174">
        <v>187</v>
      </c>
      <c r="HP69" s="174">
        <v>177</v>
      </c>
      <c r="HQ69" s="174">
        <v>167</v>
      </c>
      <c r="HR69" s="174">
        <v>157</v>
      </c>
      <c r="HS69" s="174">
        <v>271</v>
      </c>
      <c r="HT69" s="174">
        <v>261</v>
      </c>
      <c r="HU69" s="174">
        <v>167</v>
      </c>
      <c r="HV69" s="174">
        <v>204</v>
      </c>
      <c r="HW69" s="174">
        <v>157</v>
      </c>
      <c r="HX69" s="174">
        <v>147</v>
      </c>
      <c r="HY69" s="174">
        <v>137</v>
      </c>
      <c r="HZ69" s="174">
        <v>127</v>
      </c>
      <c r="IA69" s="174">
        <v>194</v>
      </c>
      <c r="IB69" s="174">
        <v>174</v>
      </c>
      <c r="IC69" s="174">
        <v>127</v>
      </c>
      <c r="ID69" s="174">
        <v>97</v>
      </c>
      <c r="IE69" s="174">
        <v>77</v>
      </c>
      <c r="IF69" s="174">
        <v>69</v>
      </c>
      <c r="IM69" s="174">
        <v>2850000</v>
      </c>
      <c r="IN69" s="174">
        <v>67</v>
      </c>
    </row>
    <row r="70" spans="1:248" ht="13.35" customHeight="1" thickBot="1" x14ac:dyDescent="0.25">
      <c r="A70" s="183">
        <f t="shared" si="9"/>
        <v>69</v>
      </c>
      <c r="B70" s="183">
        <v>0</v>
      </c>
      <c r="C70" s="183">
        <f t="shared" si="10"/>
        <v>69</v>
      </c>
      <c r="D70" s="174">
        <v>13</v>
      </c>
      <c r="E70" s="189" t="s">
        <v>492</v>
      </c>
      <c r="G70" s="174">
        <v>10</v>
      </c>
      <c r="H70" s="174">
        <v>5</v>
      </c>
      <c r="I70" s="174">
        <v>5</v>
      </c>
      <c r="J70" s="174">
        <v>5</v>
      </c>
      <c r="L70" s="174">
        <v>5</v>
      </c>
      <c r="M70" s="174">
        <v>5</v>
      </c>
      <c r="N70" s="174">
        <v>5</v>
      </c>
      <c r="O70" s="174">
        <v>5</v>
      </c>
      <c r="P70" s="174">
        <v>5</v>
      </c>
      <c r="Q70" s="174">
        <v>5</v>
      </c>
      <c r="R70" s="174">
        <v>5</v>
      </c>
      <c r="T70" s="174">
        <v>10</v>
      </c>
      <c r="U70" s="174">
        <v>5</v>
      </c>
      <c r="V70" s="174">
        <v>5</v>
      </c>
      <c r="W70" s="174">
        <v>10</v>
      </c>
      <c r="X70" s="174">
        <v>5</v>
      </c>
      <c r="Y70" s="174">
        <v>10</v>
      </c>
      <c r="AD70" s="174">
        <v>5</v>
      </c>
      <c r="AH70" s="174">
        <v>5</v>
      </c>
      <c r="AK70" s="174">
        <v>5</v>
      </c>
      <c r="AL70" s="174">
        <v>15</v>
      </c>
      <c r="AM70" s="174">
        <v>10</v>
      </c>
      <c r="AP70" s="174">
        <v>5</v>
      </c>
      <c r="AQ70" s="174">
        <v>5</v>
      </c>
      <c r="AV70" s="174">
        <v>5</v>
      </c>
      <c r="BB70" s="174">
        <v>10</v>
      </c>
      <c r="BC70" s="174">
        <v>10</v>
      </c>
      <c r="BF70" s="174">
        <v>10</v>
      </c>
      <c r="BG70" s="174">
        <v>10</v>
      </c>
      <c r="BJ70" s="174">
        <v>5</v>
      </c>
      <c r="BL70" s="174">
        <v>5</v>
      </c>
      <c r="BN70" s="174">
        <v>5</v>
      </c>
      <c r="BO70" s="174">
        <v>5</v>
      </c>
      <c r="BR70" s="174">
        <v>5</v>
      </c>
      <c r="BW70" s="174">
        <v>10</v>
      </c>
      <c r="CA70" s="174">
        <v>5</v>
      </c>
      <c r="CC70" s="174">
        <v>5</v>
      </c>
      <c r="CD70" s="174">
        <v>5</v>
      </c>
      <c r="CG70" s="174">
        <v>5</v>
      </c>
      <c r="CJ70" s="174">
        <v>5</v>
      </c>
      <c r="CL70" s="174">
        <v>10</v>
      </c>
      <c r="CN70" s="174">
        <v>10</v>
      </c>
      <c r="CS70" s="174">
        <v>5</v>
      </c>
      <c r="CT70" s="174">
        <v>10</v>
      </c>
      <c r="CU70" s="174">
        <v>5</v>
      </c>
      <c r="CX70" s="174">
        <v>5</v>
      </c>
      <c r="CY70" s="174">
        <v>5</v>
      </c>
      <c r="CZ70" s="174">
        <v>5</v>
      </c>
      <c r="DA70" s="174">
        <v>5</v>
      </c>
      <c r="DH70" s="174" t="s">
        <v>1157</v>
      </c>
      <c r="DI70" s="174" t="s">
        <v>1158</v>
      </c>
      <c r="DJ70" s="174" t="s">
        <v>1159</v>
      </c>
      <c r="DK70" s="174" t="s">
        <v>1160</v>
      </c>
      <c r="DL70" s="174" t="s">
        <v>1161</v>
      </c>
      <c r="DM70" s="174" t="s">
        <v>1162</v>
      </c>
      <c r="DN70" s="174" t="s">
        <v>294</v>
      </c>
      <c r="DQ70" s="174" t="s">
        <v>1157</v>
      </c>
      <c r="DR70" s="174" t="s">
        <v>1158</v>
      </c>
      <c r="DS70" s="174" t="s">
        <v>1159</v>
      </c>
      <c r="DT70" s="174" t="s">
        <v>1160</v>
      </c>
      <c r="DU70" s="174" t="s">
        <v>1161</v>
      </c>
      <c r="DV70" s="174" t="s">
        <v>1162</v>
      </c>
      <c r="DW70" s="174" t="s">
        <v>294</v>
      </c>
      <c r="DY70" s="174" t="s">
        <v>1163</v>
      </c>
      <c r="DZ70" s="174" t="s">
        <v>1164</v>
      </c>
      <c r="EA70" s="174" t="s">
        <v>1165</v>
      </c>
      <c r="EB70" s="174" t="s">
        <v>1166</v>
      </c>
      <c r="EC70" s="174" t="s">
        <v>1167</v>
      </c>
      <c r="ED70" s="174" t="s">
        <v>1168</v>
      </c>
      <c r="EE70" s="203">
        <v>0.435</v>
      </c>
      <c r="EF70" s="174">
        <v>-45</v>
      </c>
      <c r="EH70" s="174">
        <v>0</v>
      </c>
      <c r="EI70" s="174">
        <v>0</v>
      </c>
      <c r="EK70" s="204">
        <f>(10*Stats!L30/Stats!B4)</f>
        <v>0</v>
      </c>
      <c r="EL70" s="174" t="s">
        <v>1169</v>
      </c>
      <c r="EN70" s="182"/>
      <c r="EO70" s="182" t="s">
        <v>938</v>
      </c>
      <c r="EP70" s="182" t="s">
        <v>939</v>
      </c>
      <c r="EQ70" s="202" t="s">
        <v>940</v>
      </c>
      <c r="ER70" s="182" t="s">
        <v>941</v>
      </c>
      <c r="ES70" s="182" t="s">
        <v>942</v>
      </c>
      <c r="ET70" s="202" t="s">
        <v>943</v>
      </c>
      <c r="EU70" s="202" t="s">
        <v>944</v>
      </c>
      <c r="EV70" s="202" t="s">
        <v>945</v>
      </c>
      <c r="EW70" s="202" t="s">
        <v>946</v>
      </c>
      <c r="EX70" s="202" t="s">
        <v>894</v>
      </c>
      <c r="EY70" s="182" t="s">
        <v>937</v>
      </c>
      <c r="EZ70" s="182" t="s">
        <v>947</v>
      </c>
      <c r="FA70" s="182" t="s">
        <v>948</v>
      </c>
      <c r="FB70" s="202" t="s">
        <v>895</v>
      </c>
      <c r="FC70" s="202" t="s">
        <v>4171</v>
      </c>
      <c r="FD70" s="202" t="s">
        <v>4173</v>
      </c>
      <c r="FE70" s="202" t="s">
        <v>4172</v>
      </c>
      <c r="FF70" s="202" t="s">
        <v>899</v>
      </c>
      <c r="FG70" s="202" t="s">
        <v>949</v>
      </c>
      <c r="FH70" s="202" t="s">
        <v>178</v>
      </c>
      <c r="FI70" s="202" t="s">
        <v>950</v>
      </c>
      <c r="FJ70" s="202" t="s">
        <v>951</v>
      </c>
      <c r="FK70" s="202" t="s">
        <v>952</v>
      </c>
      <c r="FL70" s="202" t="s">
        <v>953</v>
      </c>
      <c r="FM70" s="202" t="s">
        <v>954</v>
      </c>
      <c r="FN70" s="202" t="s">
        <v>955</v>
      </c>
      <c r="FO70" s="202" t="s">
        <v>956</v>
      </c>
      <c r="FP70" s="182" t="s">
        <v>957</v>
      </c>
      <c r="FQ70" s="202" t="s">
        <v>958</v>
      </c>
      <c r="FR70" s="202" t="s">
        <v>959</v>
      </c>
      <c r="FS70" s="202" t="s">
        <v>960</v>
      </c>
      <c r="FT70" s="202" t="s">
        <v>961</v>
      </c>
      <c r="FU70" s="202" t="s">
        <v>962</v>
      </c>
      <c r="FV70" s="202" t="s">
        <v>906</v>
      </c>
      <c r="FW70" s="202" t="s">
        <v>963</v>
      </c>
      <c r="FX70" s="202" t="s">
        <v>964</v>
      </c>
      <c r="FY70" s="202" t="s">
        <v>965</v>
      </c>
      <c r="FZ70" s="202" t="s">
        <v>966</v>
      </c>
      <c r="GA70" s="202" t="s">
        <v>967</v>
      </c>
      <c r="GB70" s="202" t="s">
        <v>968</v>
      </c>
      <c r="GC70" s="202" t="s">
        <v>969</v>
      </c>
      <c r="GD70" s="182" t="s">
        <v>970</v>
      </c>
      <c r="GE70" s="202" t="s">
        <v>971</v>
      </c>
      <c r="GF70" s="202" t="s">
        <v>972</v>
      </c>
      <c r="GG70" s="202" t="s">
        <v>973</v>
      </c>
      <c r="GH70" s="202" t="s">
        <v>974</v>
      </c>
      <c r="GI70" s="202" t="s">
        <v>908</v>
      </c>
      <c r="GJ70" s="202" t="s">
        <v>909</v>
      </c>
      <c r="GK70" s="202" t="s">
        <v>910</v>
      </c>
      <c r="GL70" s="202" t="s">
        <v>911</v>
      </c>
      <c r="GM70" s="202" t="s">
        <v>975</v>
      </c>
      <c r="GN70" s="202" t="s">
        <v>913</v>
      </c>
      <c r="GO70" s="202" t="s">
        <v>914</v>
      </c>
      <c r="GP70" s="202" t="s">
        <v>915</v>
      </c>
      <c r="GQ70" s="202" t="s">
        <v>976</v>
      </c>
      <c r="GR70" s="182" t="s">
        <v>977</v>
      </c>
      <c r="GS70" s="182" t="s">
        <v>978</v>
      </c>
      <c r="GT70" s="182" t="s">
        <v>979</v>
      </c>
      <c r="GU70" s="182" t="s">
        <v>980</v>
      </c>
      <c r="GV70" s="182" t="s">
        <v>981</v>
      </c>
      <c r="GW70" s="182" t="s">
        <v>982</v>
      </c>
      <c r="GX70" s="182" t="s">
        <v>983</v>
      </c>
      <c r="GY70" s="182" t="s">
        <v>984</v>
      </c>
      <c r="GZ70" s="182" t="s">
        <v>985</v>
      </c>
      <c r="HA70" s="174">
        <v>1</v>
      </c>
      <c r="HB70" s="197">
        <v>67</v>
      </c>
      <c r="HC70" s="194">
        <v>54</v>
      </c>
      <c r="HD70" s="238">
        <v>79</v>
      </c>
      <c r="HE70" s="236">
        <v>25</v>
      </c>
      <c r="HF70" s="183">
        <v>132</v>
      </c>
      <c r="HG70" s="193" t="e">
        <f t="shared" si="11"/>
        <v>#N/A</v>
      </c>
      <c r="HH70" s="192" t="e">
        <f t="shared" si="12"/>
        <v>#N/A</v>
      </c>
      <c r="HI70" s="198">
        <v>25</v>
      </c>
      <c r="HJ70" s="185">
        <v>123.5</v>
      </c>
      <c r="HK70" s="174">
        <v>68</v>
      </c>
      <c r="HL70" s="174">
        <v>334</v>
      </c>
      <c r="HM70" s="174">
        <v>332</v>
      </c>
      <c r="HN70" s="174">
        <v>274</v>
      </c>
      <c r="HO70" s="174">
        <v>188</v>
      </c>
      <c r="HP70" s="174">
        <v>178</v>
      </c>
      <c r="HQ70" s="174">
        <v>168</v>
      </c>
      <c r="HR70" s="174">
        <v>158</v>
      </c>
      <c r="HS70" s="174">
        <v>274</v>
      </c>
      <c r="HT70" s="174">
        <v>264</v>
      </c>
      <c r="HU70" s="174">
        <v>168</v>
      </c>
      <c r="HV70" s="174">
        <v>206</v>
      </c>
      <c r="HW70" s="174">
        <v>158</v>
      </c>
      <c r="HX70" s="174">
        <v>148</v>
      </c>
      <c r="HY70" s="174">
        <v>138</v>
      </c>
      <c r="HZ70" s="174">
        <v>128</v>
      </c>
      <c r="IA70" s="174">
        <v>196</v>
      </c>
      <c r="IB70" s="174">
        <v>176</v>
      </c>
      <c r="IC70" s="174">
        <v>128</v>
      </c>
      <c r="ID70" s="174">
        <v>98</v>
      </c>
      <c r="IE70" s="174">
        <v>78</v>
      </c>
      <c r="IF70" s="174">
        <v>70</v>
      </c>
      <c r="IM70" s="174">
        <v>2900000</v>
      </c>
      <c r="IN70" s="174">
        <v>68</v>
      </c>
    </row>
    <row r="71" spans="1:248" ht="13.35" customHeight="1" thickBot="1" x14ac:dyDescent="0.25">
      <c r="A71" s="183">
        <f t="shared" si="9"/>
        <v>70</v>
      </c>
      <c r="B71" s="184">
        <f t="shared" ref="B71:B90" si="13">ROUND((A71-67)/5,0)</f>
        <v>1</v>
      </c>
      <c r="C71" s="183">
        <f t="shared" si="10"/>
        <v>70</v>
      </c>
      <c r="D71" s="174">
        <v>14</v>
      </c>
      <c r="E71" s="189" t="s">
        <v>506</v>
      </c>
      <c r="F71" s="174">
        <v>10</v>
      </c>
      <c r="G71" s="174">
        <v>5</v>
      </c>
      <c r="H71" s="174">
        <v>5</v>
      </c>
      <c r="I71" s="174">
        <v>10</v>
      </c>
      <c r="J71" s="174">
        <v>5</v>
      </c>
      <c r="O71" s="174">
        <v>5</v>
      </c>
      <c r="P71" s="174">
        <v>10</v>
      </c>
      <c r="Q71" s="174">
        <v>10</v>
      </c>
      <c r="T71" s="174">
        <v>5</v>
      </c>
      <c r="U71" s="174">
        <v>10</v>
      </c>
      <c r="V71" s="174">
        <v>5</v>
      </c>
      <c r="W71" s="174">
        <v>5</v>
      </c>
      <c r="X71" s="174">
        <v>5</v>
      </c>
      <c r="Y71" s="174">
        <v>5</v>
      </c>
      <c r="AC71" s="174">
        <v>5</v>
      </c>
      <c r="AD71" s="174">
        <v>5</v>
      </c>
      <c r="AH71" s="174">
        <v>10</v>
      </c>
      <c r="AJ71" s="174">
        <v>10</v>
      </c>
      <c r="AQ71" s="174">
        <v>5</v>
      </c>
      <c r="AS71" s="174">
        <v>5</v>
      </c>
      <c r="CS71" s="174">
        <v>15</v>
      </c>
      <c r="CV71" s="174">
        <v>5</v>
      </c>
      <c r="CX71" s="174">
        <v>5</v>
      </c>
      <c r="DA71" s="174">
        <v>15</v>
      </c>
      <c r="DD71" s="174">
        <v>5</v>
      </c>
      <c r="DH71" s="174">
        <v>1</v>
      </c>
      <c r="DI71" s="174" t="s">
        <v>1170</v>
      </c>
      <c r="DJ71" s="174">
        <v>0</v>
      </c>
      <c r="DK71" s="174">
        <v>0</v>
      </c>
      <c r="DL71" s="174">
        <v>0</v>
      </c>
      <c r="DM71" s="174">
        <v>0</v>
      </c>
      <c r="DN71" s="174">
        <v>0</v>
      </c>
      <c r="DQ71" s="174">
        <v>1</v>
      </c>
      <c r="DR71" s="174" t="s">
        <v>1171</v>
      </c>
      <c r="DS71" s="205">
        <v>0</v>
      </c>
      <c r="DT71" s="174">
        <v>0</v>
      </c>
      <c r="DU71" s="174">
        <v>0</v>
      </c>
      <c r="DV71" s="174">
        <v>0</v>
      </c>
      <c r="DW71" s="174">
        <v>0</v>
      </c>
      <c r="DY71" s="174">
        <v>1</v>
      </c>
      <c r="DZ71" s="174" t="s">
        <v>1172</v>
      </c>
      <c r="ED71" s="174" t="s">
        <v>1173</v>
      </c>
      <c r="EE71" s="203">
        <v>0.46040000000000003</v>
      </c>
      <c r="EF71" s="174">
        <v>-45</v>
      </c>
      <c r="EH71" s="174">
        <v>1.0009999999999999</v>
      </c>
      <c r="EI71" s="174">
        <v>-8</v>
      </c>
      <c r="EK71" s="174">
        <f>VLOOKUP(EK70,EH70:EI100,2)</f>
        <v>0</v>
      </c>
      <c r="EL71" s="174" t="s">
        <v>1174</v>
      </c>
      <c r="EO71" s="174" t="s">
        <v>1175</v>
      </c>
      <c r="EP71" s="174" t="s">
        <v>1175</v>
      </c>
      <c r="EQ71" s="174" t="s">
        <v>1176</v>
      </c>
      <c r="ER71" s="174" t="s">
        <v>456</v>
      </c>
      <c r="ES71" s="174" t="s">
        <v>456</v>
      </c>
      <c r="ET71" s="174" t="s">
        <v>1177</v>
      </c>
      <c r="EU71" s="174" t="s">
        <v>456</v>
      </c>
      <c r="EV71" s="174" t="s">
        <v>1178</v>
      </c>
      <c r="EW71" s="174" t="s">
        <v>456</v>
      </c>
      <c r="EX71" s="174" t="s">
        <v>456</v>
      </c>
      <c r="EY71" s="174" t="s">
        <v>456</v>
      </c>
      <c r="EZ71" s="174" t="s">
        <v>456</v>
      </c>
      <c r="FA71" s="174" t="s">
        <v>456</v>
      </c>
      <c r="FB71" s="174" t="s">
        <v>1179</v>
      </c>
      <c r="FC71" s="174" t="s">
        <v>1180</v>
      </c>
      <c r="FD71" s="174" t="s">
        <v>1181</v>
      </c>
      <c r="FE71" s="174" t="s">
        <v>1180</v>
      </c>
      <c r="FF71" s="174" t="s">
        <v>1182</v>
      </c>
      <c r="FG71" s="174" t="s">
        <v>1183</v>
      </c>
      <c r="FH71" s="174" t="s">
        <v>661</v>
      </c>
      <c r="FI71" s="174" t="s">
        <v>456</v>
      </c>
      <c r="FJ71" s="174" t="s">
        <v>1184</v>
      </c>
      <c r="FK71" s="174" t="s">
        <v>1184</v>
      </c>
      <c r="FL71" s="174" t="s">
        <v>1185</v>
      </c>
      <c r="FM71" s="174" t="s">
        <v>1184</v>
      </c>
      <c r="FN71" s="174" t="s">
        <v>1185</v>
      </c>
      <c r="FO71" s="174" t="s">
        <v>1186</v>
      </c>
      <c r="FP71" s="174" t="s">
        <v>1184</v>
      </c>
      <c r="FQ71" s="174" t="s">
        <v>1187</v>
      </c>
      <c r="FR71" s="174" t="s">
        <v>1188</v>
      </c>
      <c r="FS71" s="174" t="s">
        <v>456</v>
      </c>
      <c r="FT71" s="174" t="s">
        <v>456</v>
      </c>
      <c r="FU71" s="174" t="s">
        <v>456</v>
      </c>
      <c r="FV71" s="174" t="s">
        <v>1189</v>
      </c>
      <c r="FW71" s="174" t="s">
        <v>1189</v>
      </c>
      <c r="FX71" s="174" t="s">
        <v>1189</v>
      </c>
      <c r="FY71" s="174" t="s">
        <v>1189</v>
      </c>
      <c r="FZ71" s="174" t="s">
        <v>1190</v>
      </c>
      <c r="GA71" s="174" t="s">
        <v>1183</v>
      </c>
      <c r="GB71" s="174" t="s">
        <v>1191</v>
      </c>
      <c r="GC71" s="174" t="s">
        <v>1183</v>
      </c>
      <c r="GD71" s="174" t="s">
        <v>1191</v>
      </c>
      <c r="GE71" s="174" t="s">
        <v>1191</v>
      </c>
      <c r="GF71" s="174" t="s">
        <v>1191</v>
      </c>
      <c r="GG71" s="174" t="s">
        <v>1183</v>
      </c>
      <c r="GH71" s="174" t="s">
        <v>1191</v>
      </c>
      <c r="GJ71" s="174" t="s">
        <v>1192</v>
      </c>
      <c r="GL71" s="174" t="s">
        <v>1193</v>
      </c>
      <c r="GM71" s="174" t="s">
        <v>1194</v>
      </c>
      <c r="GN71" s="174" t="s">
        <v>1195</v>
      </c>
      <c r="GQ71" s="233" t="s">
        <v>4077</v>
      </c>
      <c r="GR71" s="233" t="s">
        <v>4078</v>
      </c>
      <c r="HA71" s="174">
        <v>2</v>
      </c>
      <c r="HB71" s="197">
        <v>68</v>
      </c>
      <c r="HC71" s="194">
        <v>54</v>
      </c>
      <c r="HD71" s="238">
        <v>79</v>
      </c>
      <c r="HE71" s="236">
        <v>25</v>
      </c>
      <c r="HF71" s="183">
        <v>133</v>
      </c>
      <c r="HG71" s="193" t="e">
        <f t="shared" si="11"/>
        <v>#N/A</v>
      </c>
      <c r="HH71" s="192" t="e">
        <f t="shared" si="12"/>
        <v>#N/A</v>
      </c>
      <c r="HI71" s="198">
        <v>25</v>
      </c>
      <c r="HJ71" s="185">
        <v>124</v>
      </c>
      <c r="HK71" s="174">
        <v>69</v>
      </c>
      <c r="HL71" s="174">
        <v>337</v>
      </c>
      <c r="HM71" s="174">
        <v>336</v>
      </c>
      <c r="HN71" s="174">
        <v>277</v>
      </c>
      <c r="HO71" s="174">
        <v>189</v>
      </c>
      <c r="HP71" s="174">
        <v>179</v>
      </c>
      <c r="HQ71" s="174">
        <v>169</v>
      </c>
      <c r="HR71" s="174">
        <v>159</v>
      </c>
      <c r="HS71" s="174">
        <v>277</v>
      </c>
      <c r="HT71" s="174">
        <v>267</v>
      </c>
      <c r="HU71" s="174">
        <v>169</v>
      </c>
      <c r="HV71" s="174">
        <v>208</v>
      </c>
      <c r="HW71" s="174">
        <v>159</v>
      </c>
      <c r="HX71" s="174">
        <v>149</v>
      </c>
      <c r="HY71" s="174">
        <v>139</v>
      </c>
      <c r="HZ71" s="174">
        <v>129</v>
      </c>
      <c r="IA71" s="174">
        <v>198</v>
      </c>
      <c r="IB71" s="174">
        <v>178</v>
      </c>
      <c r="IC71" s="174">
        <v>129</v>
      </c>
      <c r="ID71" s="174">
        <v>99</v>
      </c>
      <c r="IE71" s="174">
        <v>79</v>
      </c>
      <c r="IF71" s="174">
        <v>71</v>
      </c>
      <c r="IM71" s="174">
        <v>2950000</v>
      </c>
      <c r="IN71" s="174">
        <v>69</v>
      </c>
    </row>
    <row r="72" spans="1:248" ht="13.35" customHeight="1" thickBot="1" x14ac:dyDescent="0.25">
      <c r="A72" s="183">
        <f t="shared" si="9"/>
        <v>71</v>
      </c>
      <c r="B72" s="184">
        <f t="shared" si="13"/>
        <v>1</v>
      </c>
      <c r="C72" s="183">
        <f t="shared" si="10"/>
        <v>71</v>
      </c>
      <c r="D72" s="174">
        <v>15</v>
      </c>
      <c r="E72" s="189" t="s">
        <v>508</v>
      </c>
      <c r="F72" s="174">
        <v>10</v>
      </c>
      <c r="H72" s="174">
        <v>5</v>
      </c>
      <c r="U72" s="174">
        <v>10</v>
      </c>
      <c r="AH72" s="174">
        <v>10</v>
      </c>
      <c r="AJ72" s="174">
        <v>10</v>
      </c>
      <c r="CV72" s="174">
        <v>15</v>
      </c>
      <c r="DH72" s="174">
        <v>2</v>
      </c>
      <c r="DI72" s="174" t="s">
        <v>1196</v>
      </c>
      <c r="DJ72" s="174">
        <v>0</v>
      </c>
      <c r="DK72" s="174">
        <v>0</v>
      </c>
      <c r="DL72" s="174">
        <v>0</v>
      </c>
      <c r="DM72" s="174">
        <v>0</v>
      </c>
      <c r="DN72" s="174">
        <v>0</v>
      </c>
      <c r="DQ72" s="174">
        <v>2</v>
      </c>
      <c r="DR72" s="174" t="s">
        <v>1196</v>
      </c>
      <c r="DS72" s="205">
        <v>0</v>
      </c>
      <c r="DT72" s="174">
        <v>0</v>
      </c>
      <c r="DU72" s="174">
        <v>0</v>
      </c>
      <c r="DV72" s="174">
        <v>0</v>
      </c>
      <c r="DW72" s="174">
        <v>0</v>
      </c>
      <c r="DY72" s="174">
        <v>2</v>
      </c>
      <c r="DZ72" s="174" t="s">
        <v>1197</v>
      </c>
      <c r="EA72" s="174">
        <v>1</v>
      </c>
      <c r="ED72" s="174" t="s">
        <v>1198</v>
      </c>
      <c r="EE72" s="203">
        <v>0.48580000000000001</v>
      </c>
      <c r="EF72" s="174">
        <v>-45</v>
      </c>
      <c r="EH72" s="174">
        <v>2.0009999999999999</v>
      </c>
      <c r="EI72" s="174">
        <v>-16</v>
      </c>
      <c r="EO72" s="174" t="s">
        <v>1199</v>
      </c>
      <c r="EP72" s="174" t="s">
        <v>1199</v>
      </c>
      <c r="EQ72" s="174" t="s">
        <v>456</v>
      </c>
      <c r="ER72" s="174" t="s">
        <v>414</v>
      </c>
      <c r="ES72" s="174" t="s">
        <v>414</v>
      </c>
      <c r="ET72" s="174" t="s">
        <v>1178</v>
      </c>
      <c r="EU72" s="174" t="s">
        <v>414</v>
      </c>
      <c r="EV72" s="174" t="s">
        <v>414</v>
      </c>
      <c r="EW72" s="174" t="s">
        <v>414</v>
      </c>
      <c r="EX72" s="174" t="s">
        <v>414</v>
      </c>
      <c r="EY72" s="174" t="s">
        <v>414</v>
      </c>
      <c r="EZ72" s="174" t="s">
        <v>414</v>
      </c>
      <c r="FA72" s="174" t="s">
        <v>414</v>
      </c>
      <c r="FB72" s="174" t="s">
        <v>1200</v>
      </c>
      <c r="FC72" s="174" t="s">
        <v>1201</v>
      </c>
      <c r="FD72" s="174" t="s">
        <v>1202</v>
      </c>
      <c r="FE72" s="174" t="s">
        <v>1203</v>
      </c>
      <c r="FF72" s="174" t="s">
        <v>1204</v>
      </c>
      <c r="FG72" s="234" t="s">
        <v>4265</v>
      </c>
      <c r="FH72" s="174" t="s">
        <v>1177</v>
      </c>
      <c r="FI72" s="174" t="s">
        <v>414</v>
      </c>
      <c r="FJ72" s="174" t="s">
        <v>456</v>
      </c>
      <c r="FK72" s="174" t="s">
        <v>456</v>
      </c>
      <c r="FL72" s="174" t="s">
        <v>1184</v>
      </c>
      <c r="FM72" s="174" t="s">
        <v>456</v>
      </c>
      <c r="FN72" s="174" t="s">
        <v>1205</v>
      </c>
      <c r="FO72" s="174" t="s">
        <v>1206</v>
      </c>
      <c r="FP72" s="174" t="s">
        <v>456</v>
      </c>
      <c r="FQ72" s="174" t="s">
        <v>1207</v>
      </c>
      <c r="FR72" s="174" t="s">
        <v>1208</v>
      </c>
      <c r="FS72" s="174" t="s">
        <v>1177</v>
      </c>
      <c r="FT72" s="174" t="s">
        <v>1177</v>
      </c>
      <c r="FU72" s="174" t="s">
        <v>1177</v>
      </c>
      <c r="FV72" s="174" t="s">
        <v>1209</v>
      </c>
      <c r="FW72" s="174" t="s">
        <v>1209</v>
      </c>
      <c r="FX72" s="174" t="s">
        <v>1209</v>
      </c>
      <c r="FY72" s="174" t="s">
        <v>1209</v>
      </c>
      <c r="FZ72" s="174" t="s">
        <v>1210</v>
      </c>
      <c r="GA72" s="174" t="s">
        <v>1191</v>
      </c>
      <c r="GB72" s="174" t="s">
        <v>1211</v>
      </c>
      <c r="GC72" s="174" t="s">
        <v>1191</v>
      </c>
      <c r="GD72" s="174" t="s">
        <v>1211</v>
      </c>
      <c r="GE72" s="174" t="s">
        <v>1211</v>
      </c>
      <c r="GF72" s="174" t="s">
        <v>1211</v>
      </c>
      <c r="GG72" s="174" t="s">
        <v>1191</v>
      </c>
      <c r="GH72" s="174" t="s">
        <v>1211</v>
      </c>
      <c r="GL72" s="174" t="s">
        <v>1212</v>
      </c>
      <c r="GM72" s="174" t="s">
        <v>661</v>
      </c>
      <c r="GN72" s="174" t="s">
        <v>456</v>
      </c>
      <c r="GQ72" s="234" t="s">
        <v>4076</v>
      </c>
      <c r="GR72" s="174" t="s">
        <v>1180</v>
      </c>
      <c r="HA72" s="174">
        <v>3</v>
      </c>
      <c r="HB72" s="197">
        <v>69</v>
      </c>
      <c r="HC72" s="194">
        <v>55</v>
      </c>
      <c r="HD72" s="238">
        <v>80</v>
      </c>
      <c r="HE72" s="236">
        <v>25</v>
      </c>
      <c r="HF72" s="183">
        <v>134</v>
      </c>
      <c r="HG72" s="193" t="e">
        <f t="shared" si="11"/>
        <v>#N/A</v>
      </c>
      <c r="HH72" s="192" t="e">
        <f t="shared" si="12"/>
        <v>#N/A</v>
      </c>
      <c r="HI72" s="198">
        <v>25</v>
      </c>
      <c r="HJ72" s="185">
        <v>124.5</v>
      </c>
      <c r="HK72" s="182">
        <v>70</v>
      </c>
      <c r="HL72" s="182">
        <v>340</v>
      </c>
      <c r="HM72" s="182">
        <v>340</v>
      </c>
      <c r="HN72" s="182">
        <v>280</v>
      </c>
      <c r="HO72" s="182">
        <v>190</v>
      </c>
      <c r="HP72" s="182">
        <v>180</v>
      </c>
      <c r="HQ72" s="182">
        <v>170</v>
      </c>
      <c r="HR72" s="182">
        <v>160</v>
      </c>
      <c r="HS72" s="174">
        <v>280</v>
      </c>
      <c r="HT72" s="174">
        <v>270</v>
      </c>
      <c r="HU72" s="182">
        <v>170</v>
      </c>
      <c r="HV72" s="182">
        <v>210</v>
      </c>
      <c r="HW72" s="182">
        <v>160</v>
      </c>
      <c r="HX72" s="182">
        <v>150</v>
      </c>
      <c r="HY72" s="182">
        <v>140</v>
      </c>
      <c r="HZ72" s="182">
        <v>130</v>
      </c>
      <c r="IA72" s="174">
        <v>200</v>
      </c>
      <c r="IB72" s="182">
        <v>180</v>
      </c>
      <c r="IC72" s="182">
        <v>130</v>
      </c>
      <c r="ID72" s="182">
        <v>100</v>
      </c>
      <c r="IE72" s="182">
        <v>80</v>
      </c>
      <c r="IF72" s="182">
        <v>72</v>
      </c>
      <c r="IM72" s="174">
        <v>3000000</v>
      </c>
      <c r="IN72" s="174">
        <v>70</v>
      </c>
    </row>
    <row r="73" spans="1:248" ht="13.35" customHeight="1" thickBot="1" x14ac:dyDescent="0.25">
      <c r="A73" s="183">
        <f t="shared" si="9"/>
        <v>72</v>
      </c>
      <c r="B73" s="184">
        <f t="shared" si="13"/>
        <v>1</v>
      </c>
      <c r="C73" s="183">
        <f t="shared" si="10"/>
        <v>72</v>
      </c>
      <c r="D73" s="174">
        <v>16</v>
      </c>
      <c r="E73" s="189" t="s">
        <v>517</v>
      </c>
      <c r="X73" s="174">
        <v>5</v>
      </c>
      <c r="Y73" s="174">
        <v>5</v>
      </c>
      <c r="AF73" s="174">
        <v>5</v>
      </c>
      <c r="AK73" s="174">
        <v>5</v>
      </c>
      <c r="AT73" s="174">
        <v>10</v>
      </c>
      <c r="BH73" s="174">
        <v>5</v>
      </c>
      <c r="BQ73" s="174">
        <v>10</v>
      </c>
      <c r="BU73" s="174">
        <v>10</v>
      </c>
      <c r="BY73" s="174">
        <v>10</v>
      </c>
      <c r="CB73" s="174">
        <v>10</v>
      </c>
      <c r="CC73" s="174">
        <v>10</v>
      </c>
      <c r="CM73" s="174">
        <v>10</v>
      </c>
      <c r="CT73" s="174">
        <v>5</v>
      </c>
      <c r="CU73" s="174">
        <v>10</v>
      </c>
      <c r="CV73" s="174">
        <v>5</v>
      </c>
      <c r="DH73" s="174">
        <v>3</v>
      </c>
      <c r="DI73" s="174" t="s">
        <v>1213</v>
      </c>
      <c r="DJ73" s="174">
        <v>0</v>
      </c>
      <c r="DK73" s="174">
        <v>0</v>
      </c>
      <c r="DL73" s="174">
        <v>0</v>
      </c>
      <c r="DM73" s="174">
        <v>0</v>
      </c>
      <c r="DN73" s="174">
        <v>0</v>
      </c>
      <c r="DQ73" s="174">
        <v>3</v>
      </c>
      <c r="DR73" s="174" t="s">
        <v>1213</v>
      </c>
      <c r="DS73" s="205">
        <v>0</v>
      </c>
      <c r="DT73" s="174">
        <v>0</v>
      </c>
      <c r="DU73" s="174">
        <v>0</v>
      </c>
      <c r="DV73" s="174">
        <v>0</v>
      </c>
      <c r="DW73" s="174">
        <v>0</v>
      </c>
      <c r="DY73" s="174">
        <v>10</v>
      </c>
      <c r="DZ73" s="174" t="s">
        <v>1214</v>
      </c>
      <c r="EA73" s="174">
        <v>5</v>
      </c>
      <c r="ED73" s="174" t="s">
        <v>1215</v>
      </c>
      <c r="EE73" s="203">
        <v>0.51119999999999999</v>
      </c>
      <c r="EF73" s="174">
        <v>-45</v>
      </c>
      <c r="EH73" s="174">
        <v>3.0009999999999999</v>
      </c>
      <c r="EI73" s="174">
        <v>-24</v>
      </c>
      <c r="EO73" s="174" t="s">
        <v>1216</v>
      </c>
      <c r="EP73" s="174" t="s">
        <v>1216</v>
      </c>
      <c r="EQ73" s="174" t="s">
        <v>1177</v>
      </c>
      <c r="ER73" s="174" t="s">
        <v>661</v>
      </c>
      <c r="ES73" s="174" t="s">
        <v>661</v>
      </c>
      <c r="ET73" s="174" t="s">
        <v>1217</v>
      </c>
      <c r="EU73" s="174" t="s">
        <v>661</v>
      </c>
      <c r="EV73" s="174" t="s">
        <v>661</v>
      </c>
      <c r="EW73" s="174" t="s">
        <v>661</v>
      </c>
      <c r="EX73" s="174" t="s">
        <v>661</v>
      </c>
      <c r="EY73" s="174" t="s">
        <v>661</v>
      </c>
      <c r="EZ73" s="174" t="s">
        <v>661</v>
      </c>
      <c r="FA73" s="174" t="s">
        <v>661</v>
      </c>
      <c r="FB73" s="174" t="s">
        <v>1195</v>
      </c>
      <c r="FC73" s="174" t="s">
        <v>1218</v>
      </c>
      <c r="FD73" s="174" t="s">
        <v>1219</v>
      </c>
      <c r="FE73" s="174" t="s">
        <v>1220</v>
      </c>
      <c r="FF73" s="174" t="s">
        <v>1221</v>
      </c>
      <c r="FG73" s="234" t="s">
        <v>4267</v>
      </c>
      <c r="FH73" s="174" t="s">
        <v>602</v>
      </c>
      <c r="FI73" s="174" t="s">
        <v>661</v>
      </c>
      <c r="FJ73" s="174" t="s">
        <v>1177</v>
      </c>
      <c r="FK73" s="174" t="s">
        <v>1177</v>
      </c>
      <c r="FL73" s="174" t="s">
        <v>456</v>
      </c>
      <c r="FM73" s="174" t="s">
        <v>1177</v>
      </c>
      <c r="FN73" s="174" t="s">
        <v>1184</v>
      </c>
      <c r="FO73" s="174" t="s">
        <v>1222</v>
      </c>
      <c r="FP73" s="174" t="s">
        <v>1177</v>
      </c>
      <c r="FQ73" s="174" t="s">
        <v>1223</v>
      </c>
      <c r="FR73" s="174" t="s">
        <v>1223</v>
      </c>
      <c r="FS73" s="174" t="s">
        <v>1224</v>
      </c>
      <c r="FT73" s="174" t="s">
        <v>1224</v>
      </c>
      <c r="FU73" s="174" t="s">
        <v>1224</v>
      </c>
      <c r="FV73" s="174" t="s">
        <v>1192</v>
      </c>
      <c r="FW73" s="174" t="s">
        <v>1192</v>
      </c>
      <c r="FX73" s="174" t="s">
        <v>1192</v>
      </c>
      <c r="FY73" s="174" t="s">
        <v>1225</v>
      </c>
      <c r="FZ73" s="174" t="s">
        <v>1226</v>
      </c>
      <c r="GA73" s="174" t="s">
        <v>1211</v>
      </c>
      <c r="GB73" s="174" t="s">
        <v>1190</v>
      </c>
      <c r="GC73" s="174" t="s">
        <v>1211</v>
      </c>
      <c r="GD73" s="174" t="s">
        <v>1190</v>
      </c>
      <c r="GE73" s="174" t="s">
        <v>1190</v>
      </c>
      <c r="GF73" s="174" t="s">
        <v>1190</v>
      </c>
      <c r="GG73" s="174" t="s">
        <v>1211</v>
      </c>
      <c r="GH73" s="174" t="s">
        <v>1190</v>
      </c>
      <c r="GL73" s="174" t="s">
        <v>1227</v>
      </c>
      <c r="GM73" s="174" t="s">
        <v>1179</v>
      </c>
      <c r="GN73" s="174" t="s">
        <v>661</v>
      </c>
      <c r="GQ73" s="174" t="s">
        <v>1180</v>
      </c>
      <c r="GR73" s="174" t="s">
        <v>1234</v>
      </c>
      <c r="HA73" s="174">
        <v>4</v>
      </c>
      <c r="HB73" s="197">
        <v>70</v>
      </c>
      <c r="HC73" s="194">
        <v>55</v>
      </c>
      <c r="HD73" s="238">
        <v>80</v>
      </c>
      <c r="HE73" s="236">
        <v>25</v>
      </c>
      <c r="HF73" s="183">
        <v>135</v>
      </c>
      <c r="HG73" s="193" t="e">
        <f t="shared" si="11"/>
        <v>#N/A</v>
      </c>
      <c r="HH73" s="192" t="e">
        <f t="shared" si="12"/>
        <v>#N/A</v>
      </c>
      <c r="HI73" s="198">
        <v>25</v>
      </c>
      <c r="HJ73" s="185">
        <v>125</v>
      </c>
      <c r="HK73" s="174">
        <v>71</v>
      </c>
      <c r="HL73" s="174">
        <v>343</v>
      </c>
      <c r="HM73" s="174">
        <v>344</v>
      </c>
      <c r="HN73" s="174">
        <v>283</v>
      </c>
      <c r="HO73" s="174">
        <v>191</v>
      </c>
      <c r="HP73" s="174">
        <v>181</v>
      </c>
      <c r="HQ73" s="174">
        <v>171</v>
      </c>
      <c r="HR73" s="174">
        <v>161</v>
      </c>
      <c r="HS73" s="174">
        <v>283</v>
      </c>
      <c r="HT73" s="174">
        <v>273</v>
      </c>
      <c r="HU73" s="174">
        <v>171</v>
      </c>
      <c r="HV73" s="174">
        <v>212</v>
      </c>
      <c r="HW73" s="174">
        <v>161</v>
      </c>
      <c r="HX73" s="174">
        <v>151</v>
      </c>
      <c r="HY73" s="174">
        <v>141</v>
      </c>
      <c r="HZ73" s="174">
        <v>131</v>
      </c>
      <c r="IA73" s="174">
        <v>202</v>
      </c>
      <c r="IB73" s="174">
        <v>182</v>
      </c>
      <c r="IC73" s="174">
        <v>131</v>
      </c>
      <c r="ID73" s="174">
        <v>101</v>
      </c>
      <c r="IE73" s="174">
        <v>81</v>
      </c>
      <c r="IF73" s="174">
        <v>73</v>
      </c>
      <c r="IM73" s="174">
        <v>3050000</v>
      </c>
      <c r="IN73" s="174">
        <v>71</v>
      </c>
    </row>
    <row r="74" spans="1:248" ht="13.35" customHeight="1" thickBot="1" x14ac:dyDescent="0.25">
      <c r="A74" s="183">
        <f t="shared" si="9"/>
        <v>73</v>
      </c>
      <c r="B74" s="184">
        <f t="shared" si="13"/>
        <v>1</v>
      </c>
      <c r="C74" s="183">
        <f t="shared" si="10"/>
        <v>73</v>
      </c>
      <c r="D74" s="174">
        <v>17</v>
      </c>
      <c r="E74" s="189" t="s">
        <v>525</v>
      </c>
      <c r="J74" s="174">
        <v>5</v>
      </c>
      <c r="AS74" s="174">
        <v>5</v>
      </c>
      <c r="AU74" s="174">
        <v>5</v>
      </c>
      <c r="AV74" s="174">
        <v>15</v>
      </c>
      <c r="AZ74" s="174">
        <v>15</v>
      </c>
      <c r="BV74" s="174">
        <v>10</v>
      </c>
      <c r="CX74" s="174">
        <v>5</v>
      </c>
      <c r="DB74" s="174">
        <v>15</v>
      </c>
      <c r="DC74" s="174">
        <v>15</v>
      </c>
      <c r="DD74" s="174">
        <v>15</v>
      </c>
      <c r="DH74" s="174">
        <v>4</v>
      </c>
      <c r="DI74" s="174" t="s">
        <v>1228</v>
      </c>
      <c r="DJ74" s="174">
        <v>0</v>
      </c>
      <c r="DK74" s="174">
        <v>0</v>
      </c>
      <c r="DL74" s="174">
        <v>0</v>
      </c>
      <c r="DM74" s="174">
        <v>0</v>
      </c>
      <c r="DN74" s="174">
        <v>0</v>
      </c>
      <c r="DQ74" s="174">
        <v>4</v>
      </c>
      <c r="DR74" s="174" t="s">
        <v>1228</v>
      </c>
      <c r="DS74" s="205">
        <v>0</v>
      </c>
      <c r="DT74" s="174">
        <v>0</v>
      </c>
      <c r="DU74" s="174">
        <v>0</v>
      </c>
      <c r="DV74" s="174">
        <v>0</v>
      </c>
      <c r="DW74" s="174">
        <v>0</v>
      </c>
      <c r="DY74" s="174">
        <v>36</v>
      </c>
      <c r="DZ74" s="174" t="s">
        <v>1229</v>
      </c>
      <c r="EA74" s="174">
        <v>20</v>
      </c>
      <c r="ED74" s="174" t="s">
        <v>1230</v>
      </c>
      <c r="EE74" s="203">
        <v>0.53660000000000008</v>
      </c>
      <c r="EF74" s="174">
        <v>-45</v>
      </c>
      <c r="EH74" s="174">
        <v>4.0010000000000003</v>
      </c>
      <c r="EI74" s="174">
        <v>-32</v>
      </c>
      <c r="EK74" s="174">
        <v>-999</v>
      </c>
      <c r="EL74" s="174" t="s">
        <v>300</v>
      </c>
      <c r="EO74" s="174" t="s">
        <v>1231</v>
      </c>
      <c r="EP74" s="174" t="s">
        <v>1231</v>
      </c>
      <c r="EQ74" s="174" t="s">
        <v>609</v>
      </c>
      <c r="ER74" s="174" t="s">
        <v>1177</v>
      </c>
      <c r="ES74" s="174" t="s">
        <v>1177</v>
      </c>
      <c r="ET74" s="174" t="s">
        <v>506</v>
      </c>
      <c r="EU74" s="174" t="s">
        <v>1177</v>
      </c>
      <c r="EV74" s="174" t="s">
        <v>1232</v>
      </c>
      <c r="EW74" s="174" t="s">
        <v>1178</v>
      </c>
      <c r="EX74" s="174" t="s">
        <v>1178</v>
      </c>
      <c r="EY74" s="174" t="s">
        <v>1177</v>
      </c>
      <c r="EZ74" s="174" t="s">
        <v>1177</v>
      </c>
      <c r="FA74" s="174" t="s">
        <v>1177</v>
      </c>
      <c r="FB74" s="174" t="s">
        <v>1233</v>
      </c>
      <c r="FC74" s="174" t="s">
        <v>1234</v>
      </c>
      <c r="FD74" s="174" t="s">
        <v>1234</v>
      </c>
      <c r="FE74" s="174" t="s">
        <v>1234</v>
      </c>
      <c r="FF74" s="174" t="s">
        <v>456</v>
      </c>
      <c r="FG74" s="234" t="s">
        <v>4266</v>
      </c>
      <c r="FH74" s="174" t="s">
        <v>456</v>
      </c>
      <c r="FI74" s="174" t="s">
        <v>1232</v>
      </c>
      <c r="FJ74" s="174" t="s">
        <v>609</v>
      </c>
      <c r="FK74" s="174" t="s">
        <v>609</v>
      </c>
      <c r="FL74" s="174" t="s">
        <v>1177</v>
      </c>
      <c r="FM74" s="174" t="s">
        <v>609</v>
      </c>
      <c r="FN74" s="174" t="s">
        <v>456</v>
      </c>
      <c r="FO74" s="174" t="s">
        <v>456</v>
      </c>
      <c r="FP74" s="174" t="s">
        <v>609</v>
      </c>
      <c r="FQ74" s="174" t="s">
        <v>1235</v>
      </c>
      <c r="FR74" s="174" t="s">
        <v>1235</v>
      </c>
      <c r="FS74" s="174" t="s">
        <v>1236</v>
      </c>
      <c r="FT74" s="174" t="s">
        <v>1236</v>
      </c>
      <c r="FU74" s="174" t="s">
        <v>1236</v>
      </c>
      <c r="FV74" s="174" t="s">
        <v>407</v>
      </c>
      <c r="FW74" s="174" t="s">
        <v>407</v>
      </c>
      <c r="FX74" s="174" t="s">
        <v>407</v>
      </c>
      <c r="FY74" s="174" t="s">
        <v>1192</v>
      </c>
      <c r="FZ74" s="174" t="s">
        <v>456</v>
      </c>
      <c r="GA74" s="174" t="s">
        <v>1237</v>
      </c>
      <c r="GB74" s="174" t="s">
        <v>1238</v>
      </c>
      <c r="GC74" s="174" t="s">
        <v>1237</v>
      </c>
      <c r="GD74" s="174" t="s">
        <v>1238</v>
      </c>
      <c r="GE74" s="174" t="s">
        <v>1238</v>
      </c>
      <c r="GF74" s="174" t="s">
        <v>1238</v>
      </c>
      <c r="GG74" s="174" t="s">
        <v>1237</v>
      </c>
      <c r="GH74" s="174" t="s">
        <v>1238</v>
      </c>
      <c r="GL74" s="174" t="s">
        <v>1239</v>
      </c>
      <c r="GM74" s="174" t="s">
        <v>618</v>
      </c>
      <c r="GN74" s="174" t="s">
        <v>1177</v>
      </c>
      <c r="GQ74" s="174" t="s">
        <v>1234</v>
      </c>
      <c r="GR74" s="233" t="s">
        <v>4073</v>
      </c>
      <c r="HA74" s="174">
        <v>5</v>
      </c>
      <c r="HB74" s="197">
        <v>71</v>
      </c>
      <c r="HC74" s="194">
        <v>56</v>
      </c>
      <c r="HD74" s="238">
        <v>81</v>
      </c>
      <c r="HE74" s="236">
        <v>25</v>
      </c>
      <c r="HF74" s="183">
        <v>136</v>
      </c>
      <c r="HG74" s="193" t="e">
        <f t="shared" si="11"/>
        <v>#N/A</v>
      </c>
      <c r="HH74" s="192" t="e">
        <f t="shared" si="12"/>
        <v>#N/A</v>
      </c>
      <c r="HI74" s="198">
        <v>25</v>
      </c>
      <c r="HJ74" s="185">
        <v>125.5</v>
      </c>
      <c r="HK74" s="174">
        <v>72</v>
      </c>
      <c r="HL74" s="174">
        <v>346</v>
      </c>
      <c r="HM74" s="174">
        <v>348</v>
      </c>
      <c r="HN74" s="174">
        <v>286</v>
      </c>
      <c r="HO74" s="174">
        <v>192</v>
      </c>
      <c r="HP74" s="174">
        <v>182</v>
      </c>
      <c r="HQ74" s="174">
        <v>172</v>
      </c>
      <c r="HR74" s="174">
        <v>162</v>
      </c>
      <c r="HS74" s="174">
        <v>286</v>
      </c>
      <c r="HT74" s="174">
        <v>276</v>
      </c>
      <c r="HU74" s="174">
        <v>172</v>
      </c>
      <c r="HV74" s="174">
        <v>214</v>
      </c>
      <c r="HW74" s="174">
        <v>162</v>
      </c>
      <c r="HX74" s="174">
        <v>152</v>
      </c>
      <c r="HY74" s="174">
        <v>142</v>
      </c>
      <c r="HZ74" s="174">
        <v>132</v>
      </c>
      <c r="IA74" s="174">
        <v>204</v>
      </c>
      <c r="IB74" s="174">
        <v>184</v>
      </c>
      <c r="IC74" s="174">
        <v>132</v>
      </c>
      <c r="ID74" s="174">
        <v>102</v>
      </c>
      <c r="IE74" s="174">
        <v>82</v>
      </c>
      <c r="IF74" s="174">
        <v>74</v>
      </c>
      <c r="IM74" s="174">
        <v>3100000</v>
      </c>
      <c r="IN74" s="174">
        <v>72</v>
      </c>
    </row>
    <row r="75" spans="1:248" ht="13.35" customHeight="1" thickBot="1" x14ac:dyDescent="0.25">
      <c r="A75" s="183">
        <f t="shared" si="9"/>
        <v>74</v>
      </c>
      <c r="B75" s="184">
        <f t="shared" si="13"/>
        <v>1</v>
      </c>
      <c r="C75" s="183">
        <f t="shared" si="10"/>
        <v>74</v>
      </c>
      <c r="D75" s="174">
        <v>18</v>
      </c>
      <c r="E75" s="189" t="s">
        <v>543</v>
      </c>
      <c r="K75" s="174">
        <v>10</v>
      </c>
      <c r="L75" s="174">
        <v>5</v>
      </c>
      <c r="S75" s="174">
        <v>5</v>
      </c>
      <c r="DH75" s="174">
        <v>5</v>
      </c>
      <c r="DI75" s="174" t="s">
        <v>1240</v>
      </c>
      <c r="DJ75" s="174">
        <v>0</v>
      </c>
      <c r="DK75" s="174">
        <v>0</v>
      </c>
      <c r="DL75" s="174">
        <v>0</v>
      </c>
      <c r="DM75" s="174">
        <v>0</v>
      </c>
      <c r="DN75" s="174">
        <v>1</v>
      </c>
      <c r="DQ75" s="174">
        <v>5</v>
      </c>
      <c r="DR75" s="174" t="s">
        <v>1240</v>
      </c>
      <c r="DS75" s="205">
        <v>0</v>
      </c>
      <c r="DT75" s="174">
        <v>0</v>
      </c>
      <c r="DU75" s="174">
        <v>0</v>
      </c>
      <c r="DV75" s="174">
        <v>0</v>
      </c>
      <c r="DW75" s="174">
        <v>1</v>
      </c>
      <c r="DY75" s="174">
        <v>46</v>
      </c>
      <c r="DZ75" s="174" t="s">
        <v>1241</v>
      </c>
      <c r="EA75" s="174">
        <v>20</v>
      </c>
      <c r="EB75" s="174">
        <v>1</v>
      </c>
      <c r="ED75" s="174" t="s">
        <v>1242</v>
      </c>
      <c r="EE75" s="203">
        <v>0.56200000000000017</v>
      </c>
      <c r="EF75" s="174">
        <v>-45</v>
      </c>
      <c r="EH75" s="174">
        <v>5.0010000000000003</v>
      </c>
      <c r="EI75" s="174">
        <v>-40</v>
      </c>
      <c r="EK75" s="174">
        <v>-100</v>
      </c>
      <c r="EL75" s="174" t="s">
        <v>1243</v>
      </c>
      <c r="EO75" s="174" t="s">
        <v>1244</v>
      </c>
      <c r="EP75" s="174" t="s">
        <v>1244</v>
      </c>
      <c r="EQ75" s="174" t="s">
        <v>458</v>
      </c>
      <c r="ER75" s="174" t="s">
        <v>702</v>
      </c>
      <c r="ES75" s="174" t="s">
        <v>702</v>
      </c>
      <c r="ET75" s="174" t="s">
        <v>1245</v>
      </c>
      <c r="EU75" s="174" t="s">
        <v>702</v>
      </c>
      <c r="EV75" s="174" t="s">
        <v>702</v>
      </c>
      <c r="EW75" s="174" t="s">
        <v>1232</v>
      </c>
      <c r="EX75" s="174" t="s">
        <v>1232</v>
      </c>
      <c r="EY75" s="174" t="s">
        <v>702</v>
      </c>
      <c r="EZ75" s="174" t="s">
        <v>702</v>
      </c>
      <c r="FA75" s="174" t="s">
        <v>702</v>
      </c>
      <c r="FB75" s="174" t="s">
        <v>1246</v>
      </c>
      <c r="FC75" s="174" t="s">
        <v>1247</v>
      </c>
      <c r="FD75" s="174" t="s">
        <v>1248</v>
      </c>
      <c r="FE75" s="174" t="s">
        <v>1249</v>
      </c>
      <c r="FF75" s="174" t="s">
        <v>414</v>
      </c>
      <c r="FG75" s="174" t="s">
        <v>1250</v>
      </c>
      <c r="FH75" s="174" t="s">
        <v>603</v>
      </c>
      <c r="FI75" s="174" t="s">
        <v>702</v>
      </c>
      <c r="FJ75" s="174" t="s">
        <v>458</v>
      </c>
      <c r="FK75" s="174" t="s">
        <v>458</v>
      </c>
      <c r="FL75" s="174" t="s">
        <v>609</v>
      </c>
      <c r="FM75" s="174" t="s">
        <v>458</v>
      </c>
      <c r="FN75" s="174" t="s">
        <v>1177</v>
      </c>
      <c r="FO75" s="174" t="s">
        <v>661</v>
      </c>
      <c r="FP75" s="174" t="s">
        <v>458</v>
      </c>
      <c r="FQ75" s="174" t="s">
        <v>606</v>
      </c>
      <c r="FR75" s="174" t="s">
        <v>606</v>
      </c>
      <c r="FS75" s="174" t="s">
        <v>702</v>
      </c>
      <c r="FT75" s="174" t="s">
        <v>702</v>
      </c>
      <c r="FU75" s="174" t="s">
        <v>702</v>
      </c>
      <c r="FV75" s="174" t="s">
        <v>1251</v>
      </c>
      <c r="FW75" s="174" t="s">
        <v>1251</v>
      </c>
      <c r="FX75" s="174" t="s">
        <v>1251</v>
      </c>
      <c r="FY75" s="174" t="s">
        <v>407</v>
      </c>
      <c r="FZ75" s="174" t="s">
        <v>661</v>
      </c>
      <c r="GA75" s="174" t="s">
        <v>1252</v>
      </c>
      <c r="GB75" s="174" t="s">
        <v>1237</v>
      </c>
      <c r="GC75" s="174" t="s">
        <v>1252</v>
      </c>
      <c r="GD75" s="174" t="s">
        <v>1237</v>
      </c>
      <c r="GE75" s="174" t="s">
        <v>1237</v>
      </c>
      <c r="GF75" s="174" t="s">
        <v>1237</v>
      </c>
      <c r="GG75" s="174" t="s">
        <v>1252</v>
      </c>
      <c r="GH75" s="174" t="s">
        <v>1237</v>
      </c>
      <c r="GL75" s="174" t="s">
        <v>1179</v>
      </c>
      <c r="GM75" s="174" t="s">
        <v>506</v>
      </c>
      <c r="GN75" s="174" t="s">
        <v>702</v>
      </c>
      <c r="GQ75" s="233" t="s">
        <v>4073</v>
      </c>
      <c r="GR75" s="174" t="s">
        <v>456</v>
      </c>
      <c r="HA75" s="174">
        <v>6</v>
      </c>
      <c r="HB75" s="197">
        <v>72</v>
      </c>
      <c r="HC75" s="194">
        <v>56</v>
      </c>
      <c r="HD75" s="238">
        <v>81</v>
      </c>
      <c r="HE75" s="236">
        <v>25</v>
      </c>
      <c r="HF75" s="183">
        <v>137</v>
      </c>
      <c r="HG75" s="193" t="e">
        <f t="shared" si="11"/>
        <v>#N/A</v>
      </c>
      <c r="HH75" s="192" t="e">
        <f t="shared" si="12"/>
        <v>#N/A</v>
      </c>
      <c r="HI75" s="198">
        <v>25</v>
      </c>
      <c r="HJ75" s="185">
        <v>126</v>
      </c>
      <c r="HK75" s="174">
        <v>73</v>
      </c>
      <c r="HL75" s="174">
        <v>349</v>
      </c>
      <c r="HM75" s="174">
        <v>352</v>
      </c>
      <c r="HN75" s="174">
        <v>289</v>
      </c>
      <c r="HO75" s="174">
        <v>193</v>
      </c>
      <c r="HP75" s="174">
        <v>183</v>
      </c>
      <c r="HQ75" s="174">
        <v>173</v>
      </c>
      <c r="HR75" s="174">
        <v>163</v>
      </c>
      <c r="HS75" s="174">
        <v>289</v>
      </c>
      <c r="HT75" s="174">
        <v>279</v>
      </c>
      <c r="HU75" s="174">
        <v>173</v>
      </c>
      <c r="HV75" s="174">
        <v>216</v>
      </c>
      <c r="HW75" s="174">
        <v>163</v>
      </c>
      <c r="HX75" s="174">
        <v>153</v>
      </c>
      <c r="HY75" s="174">
        <v>143</v>
      </c>
      <c r="HZ75" s="174">
        <v>133</v>
      </c>
      <c r="IA75" s="174">
        <v>206</v>
      </c>
      <c r="IB75" s="174">
        <v>186</v>
      </c>
      <c r="IC75" s="174">
        <v>133</v>
      </c>
      <c r="ID75" s="174">
        <v>103</v>
      </c>
      <c r="IE75" s="174">
        <v>83</v>
      </c>
      <c r="IF75" s="174">
        <v>75</v>
      </c>
      <c r="IM75" s="174">
        <v>3150000</v>
      </c>
      <c r="IN75" s="174">
        <v>73</v>
      </c>
    </row>
    <row r="76" spans="1:248" ht="13.35" customHeight="1" thickBot="1" x14ac:dyDescent="0.25">
      <c r="A76" s="183">
        <f t="shared" si="9"/>
        <v>75</v>
      </c>
      <c r="B76" s="184">
        <f t="shared" si="13"/>
        <v>2</v>
      </c>
      <c r="C76" s="183">
        <f t="shared" si="10"/>
        <v>75</v>
      </c>
      <c r="D76" s="174">
        <v>19</v>
      </c>
      <c r="E76" s="189" t="s">
        <v>546</v>
      </c>
      <c r="M76" s="174">
        <v>5</v>
      </c>
      <c r="O76" s="174">
        <v>10</v>
      </c>
      <c r="R76" s="174">
        <v>5</v>
      </c>
      <c r="W76" s="174">
        <v>5</v>
      </c>
      <c r="X76" s="174">
        <v>5</v>
      </c>
      <c r="Y76" s="174">
        <v>5</v>
      </c>
      <c r="AD76" s="174">
        <v>5</v>
      </c>
      <c r="AJ76" s="174">
        <v>5</v>
      </c>
      <c r="AK76" s="174">
        <v>10</v>
      </c>
      <c r="AP76" s="174">
        <v>5</v>
      </c>
      <c r="AQ76" s="174">
        <v>5</v>
      </c>
      <c r="AT76" s="174">
        <v>5</v>
      </c>
      <c r="AW76" s="174">
        <v>5</v>
      </c>
      <c r="AX76" s="174">
        <v>10</v>
      </c>
      <c r="AY76" s="174">
        <v>10</v>
      </c>
      <c r="BA76" s="174">
        <v>10</v>
      </c>
      <c r="BD76" s="174">
        <v>5</v>
      </c>
      <c r="BF76" s="174">
        <v>5</v>
      </c>
      <c r="BG76" s="174">
        <v>10</v>
      </c>
      <c r="BH76" s="174">
        <v>15</v>
      </c>
      <c r="BI76" s="174">
        <v>5</v>
      </c>
      <c r="BJ76" s="174">
        <v>10</v>
      </c>
      <c r="BK76" s="174">
        <v>10</v>
      </c>
      <c r="BL76" s="174">
        <v>10</v>
      </c>
      <c r="BM76" s="174">
        <v>5</v>
      </c>
      <c r="BN76" s="174">
        <v>10</v>
      </c>
      <c r="BO76" s="174">
        <v>10</v>
      </c>
      <c r="BP76" s="174">
        <v>10</v>
      </c>
      <c r="BQ76" s="174">
        <v>10</v>
      </c>
      <c r="BR76" s="174">
        <v>20</v>
      </c>
      <c r="BS76" s="174">
        <v>5</v>
      </c>
      <c r="BT76" s="174">
        <v>10</v>
      </c>
      <c r="BU76" s="174">
        <v>10</v>
      </c>
      <c r="BV76" s="174">
        <v>5</v>
      </c>
      <c r="BW76" s="174">
        <v>10</v>
      </c>
      <c r="BX76" s="174">
        <v>10</v>
      </c>
      <c r="BY76" s="174">
        <v>5</v>
      </c>
      <c r="BZ76" s="174">
        <v>10</v>
      </c>
      <c r="CA76" s="174">
        <v>5</v>
      </c>
      <c r="CB76" s="174">
        <v>5</v>
      </c>
      <c r="CC76" s="174">
        <v>10</v>
      </c>
      <c r="CD76" s="174">
        <v>5</v>
      </c>
      <c r="CE76" s="174">
        <v>5</v>
      </c>
      <c r="CF76" s="174">
        <v>15</v>
      </c>
      <c r="CG76" s="174">
        <v>5</v>
      </c>
      <c r="CH76" s="174">
        <v>10</v>
      </c>
      <c r="CI76" s="174">
        <v>5</v>
      </c>
      <c r="CJ76" s="174">
        <v>5</v>
      </c>
      <c r="CK76" s="174">
        <v>10</v>
      </c>
      <c r="CL76" s="174">
        <v>5</v>
      </c>
      <c r="CM76" s="174">
        <v>15</v>
      </c>
      <c r="CN76" s="174">
        <v>5</v>
      </c>
      <c r="CO76" s="174">
        <v>10</v>
      </c>
      <c r="CP76" s="174">
        <v>5</v>
      </c>
      <c r="CQ76" s="174">
        <v>10</v>
      </c>
      <c r="CY76" s="174">
        <v>5</v>
      </c>
      <c r="DC76" s="174">
        <v>5</v>
      </c>
      <c r="DH76" s="174">
        <v>6</v>
      </c>
      <c r="DI76" s="174" t="s">
        <v>1253</v>
      </c>
      <c r="DJ76" s="174">
        <v>0</v>
      </c>
      <c r="DK76" s="174">
        <v>-20</v>
      </c>
      <c r="DL76" s="174">
        <v>5</v>
      </c>
      <c r="DM76" s="174">
        <v>0</v>
      </c>
      <c r="DN76" s="174">
        <v>1</v>
      </c>
      <c r="DQ76" s="174">
        <v>6</v>
      </c>
      <c r="DR76" s="174" t="s">
        <v>1253</v>
      </c>
      <c r="DS76" s="205">
        <v>0</v>
      </c>
      <c r="DT76" s="174">
        <v>-8</v>
      </c>
      <c r="DU76" s="174">
        <v>0</v>
      </c>
      <c r="DV76" s="174">
        <v>0</v>
      </c>
      <c r="DW76" s="174">
        <v>1</v>
      </c>
      <c r="DY76" s="174">
        <v>57</v>
      </c>
      <c r="DZ76" s="174" t="s">
        <v>1254</v>
      </c>
      <c r="EB76" s="174">
        <v>5</v>
      </c>
      <c r="ED76" s="174" t="s">
        <v>1255</v>
      </c>
      <c r="EE76" s="203">
        <v>0.58739999999999992</v>
      </c>
      <c r="EF76" s="174">
        <v>-40</v>
      </c>
      <c r="EH76" s="174">
        <v>6.0010000000000003</v>
      </c>
      <c r="EI76" s="174">
        <v>-48</v>
      </c>
      <c r="EK76" s="174">
        <v>-65</v>
      </c>
      <c r="EL76" s="174" t="s">
        <v>304</v>
      </c>
      <c r="EO76" s="174" t="s">
        <v>414</v>
      </c>
      <c r="EP76" s="174" t="s">
        <v>414</v>
      </c>
      <c r="EQ76" s="174" t="s">
        <v>527</v>
      </c>
      <c r="ER76" s="174" t="s">
        <v>1239</v>
      </c>
      <c r="ES76" s="174" t="s">
        <v>1239</v>
      </c>
      <c r="ET76" s="174" t="s">
        <v>548</v>
      </c>
      <c r="EU76" s="174" t="s">
        <v>1239</v>
      </c>
      <c r="EV76" s="174" t="s">
        <v>618</v>
      </c>
      <c r="EW76" s="174" t="s">
        <v>1256</v>
      </c>
      <c r="EX76" s="174" t="s">
        <v>1256</v>
      </c>
      <c r="EY76" s="174" t="s">
        <v>1239</v>
      </c>
      <c r="EZ76" s="174" t="s">
        <v>1239</v>
      </c>
      <c r="FA76" s="174" t="s">
        <v>1239</v>
      </c>
      <c r="FB76" s="174" t="s">
        <v>1257</v>
      </c>
      <c r="FC76" s="174" t="s">
        <v>1258</v>
      </c>
      <c r="FD76" s="174" t="s">
        <v>1259</v>
      </c>
      <c r="FE76" s="174" t="s">
        <v>1260</v>
      </c>
      <c r="FF76" s="174" t="s">
        <v>661</v>
      </c>
      <c r="FG76" s="234" t="s">
        <v>4268</v>
      </c>
      <c r="FH76" s="174" t="s">
        <v>1261</v>
      </c>
      <c r="FI76" s="174" t="s">
        <v>618</v>
      </c>
      <c r="FJ76" s="174" t="s">
        <v>527</v>
      </c>
      <c r="FK76" s="174" t="s">
        <v>527</v>
      </c>
      <c r="FL76" s="174" t="s">
        <v>458</v>
      </c>
      <c r="FM76" s="174" t="s">
        <v>527</v>
      </c>
      <c r="FN76" s="174" t="s">
        <v>609</v>
      </c>
      <c r="FO76" s="174" t="s">
        <v>1184</v>
      </c>
      <c r="FP76" s="174" t="s">
        <v>527</v>
      </c>
      <c r="FQ76" s="174" t="s">
        <v>491</v>
      </c>
      <c r="FR76" s="174" t="s">
        <v>491</v>
      </c>
      <c r="FS76" s="174" t="s">
        <v>1262</v>
      </c>
      <c r="FT76" s="174" t="s">
        <v>1262</v>
      </c>
      <c r="FU76" s="174" t="s">
        <v>1262</v>
      </c>
      <c r="FV76" s="174" t="s">
        <v>491</v>
      </c>
      <c r="FW76" s="174" t="s">
        <v>491</v>
      </c>
      <c r="FX76" s="174" t="s">
        <v>491</v>
      </c>
      <c r="FY76" s="174" t="s">
        <v>1251</v>
      </c>
      <c r="FZ76" s="174" t="s">
        <v>1263</v>
      </c>
      <c r="GA76" s="174" t="s">
        <v>456</v>
      </c>
      <c r="GB76" s="174" t="s">
        <v>1252</v>
      </c>
      <c r="GC76" s="174" t="s">
        <v>456</v>
      </c>
      <c r="GD76" s="174" t="s">
        <v>1252</v>
      </c>
      <c r="GE76" s="174" t="s">
        <v>1252</v>
      </c>
      <c r="GF76" s="174" t="s">
        <v>1252</v>
      </c>
      <c r="GG76" s="174" t="s">
        <v>456</v>
      </c>
      <c r="GH76" s="174" t="s">
        <v>1252</v>
      </c>
      <c r="GL76" s="174" t="s">
        <v>618</v>
      </c>
      <c r="GM76" s="174" t="s">
        <v>1264</v>
      </c>
      <c r="GN76" s="174" t="s">
        <v>1239</v>
      </c>
      <c r="GQ76" s="174" t="s">
        <v>456</v>
      </c>
      <c r="GR76" s="174" t="s">
        <v>661</v>
      </c>
      <c r="HA76" s="174">
        <v>7</v>
      </c>
      <c r="HB76" s="197">
        <v>73</v>
      </c>
      <c r="HC76" s="194">
        <v>57</v>
      </c>
      <c r="HD76" s="238">
        <v>82</v>
      </c>
      <c r="HE76" s="236">
        <v>25</v>
      </c>
      <c r="HF76" s="183">
        <v>138</v>
      </c>
      <c r="HG76" s="193" t="e">
        <f t="shared" si="11"/>
        <v>#N/A</v>
      </c>
      <c r="HH76" s="192" t="e">
        <f t="shared" si="12"/>
        <v>#N/A</v>
      </c>
      <c r="HI76" s="198">
        <v>25</v>
      </c>
      <c r="HJ76" s="185">
        <v>126.5</v>
      </c>
      <c r="HK76" s="174">
        <v>74</v>
      </c>
      <c r="HL76" s="174">
        <v>352</v>
      </c>
      <c r="HM76" s="174">
        <v>356</v>
      </c>
      <c r="HN76" s="174">
        <v>292</v>
      </c>
      <c r="HO76" s="174">
        <v>194</v>
      </c>
      <c r="HP76" s="174">
        <v>184</v>
      </c>
      <c r="HQ76" s="174">
        <v>174</v>
      </c>
      <c r="HR76" s="174">
        <v>164</v>
      </c>
      <c r="HS76" s="174">
        <v>292</v>
      </c>
      <c r="HT76" s="174">
        <v>282</v>
      </c>
      <c r="HU76" s="174">
        <v>174</v>
      </c>
      <c r="HV76" s="174">
        <v>218</v>
      </c>
      <c r="HW76" s="174">
        <v>164</v>
      </c>
      <c r="HX76" s="174">
        <v>154</v>
      </c>
      <c r="HY76" s="174">
        <v>144</v>
      </c>
      <c r="HZ76" s="174">
        <v>134</v>
      </c>
      <c r="IA76" s="174">
        <v>208</v>
      </c>
      <c r="IB76" s="174">
        <v>188</v>
      </c>
      <c r="IC76" s="174">
        <v>134</v>
      </c>
      <c r="ID76" s="174">
        <v>104</v>
      </c>
      <c r="IE76" s="174">
        <v>84</v>
      </c>
      <c r="IF76" s="174">
        <v>76</v>
      </c>
      <c r="IM76" s="174">
        <v>3200000</v>
      </c>
      <c r="IN76" s="174">
        <v>74</v>
      </c>
    </row>
    <row r="77" spans="1:248" ht="13.35" customHeight="1" thickBot="1" x14ac:dyDescent="0.25">
      <c r="A77" s="183">
        <f t="shared" si="9"/>
        <v>76</v>
      </c>
      <c r="B77" s="184">
        <f t="shared" si="13"/>
        <v>2</v>
      </c>
      <c r="C77" s="183">
        <f t="shared" si="10"/>
        <v>76</v>
      </c>
      <c r="D77" s="174">
        <v>20</v>
      </c>
      <c r="E77" s="189" t="s">
        <v>556</v>
      </c>
      <c r="X77" s="174">
        <v>10</v>
      </c>
      <c r="AL77" s="174">
        <v>10</v>
      </c>
      <c r="AM77" s="174">
        <v>5</v>
      </c>
      <c r="AS77" s="174">
        <v>10</v>
      </c>
      <c r="AT77" s="174">
        <v>15</v>
      </c>
      <c r="AW77" s="174">
        <v>5</v>
      </c>
      <c r="AX77" s="174">
        <v>10</v>
      </c>
      <c r="BA77" s="174">
        <v>10</v>
      </c>
      <c r="BC77" s="174">
        <v>5</v>
      </c>
      <c r="BE77" s="174">
        <v>5</v>
      </c>
      <c r="BF77" s="174">
        <v>5</v>
      </c>
      <c r="BI77" s="174">
        <v>5</v>
      </c>
      <c r="BJ77" s="174">
        <v>5</v>
      </c>
      <c r="BK77" s="174">
        <v>5</v>
      </c>
      <c r="BL77" s="174">
        <v>10</v>
      </c>
      <c r="BM77" s="174">
        <v>5</v>
      </c>
      <c r="BN77" s="174">
        <v>5</v>
      </c>
      <c r="BO77" s="174">
        <v>10</v>
      </c>
      <c r="BP77" s="174">
        <v>5</v>
      </c>
      <c r="BQ77" s="174">
        <v>10</v>
      </c>
      <c r="BR77" s="174">
        <v>5</v>
      </c>
      <c r="BT77" s="174">
        <v>5</v>
      </c>
      <c r="BU77" s="174">
        <v>5</v>
      </c>
      <c r="BV77" s="174">
        <v>5</v>
      </c>
      <c r="BW77" s="174">
        <v>5</v>
      </c>
      <c r="BX77" s="174">
        <v>10</v>
      </c>
      <c r="BY77" s="174">
        <v>5</v>
      </c>
      <c r="BZ77" s="174">
        <v>5</v>
      </c>
      <c r="CA77" s="174">
        <v>5</v>
      </c>
      <c r="CB77" s="174">
        <v>5</v>
      </c>
      <c r="CC77" s="174">
        <v>5</v>
      </c>
      <c r="CD77" s="174">
        <v>5</v>
      </c>
      <c r="CE77" s="174">
        <v>5</v>
      </c>
      <c r="CF77" s="174">
        <v>5</v>
      </c>
      <c r="CG77" s="174">
        <v>5</v>
      </c>
      <c r="CJ77" s="174">
        <v>10</v>
      </c>
      <c r="CL77" s="174">
        <v>5</v>
      </c>
      <c r="CN77" s="174">
        <v>10</v>
      </c>
      <c r="CQ77" s="174">
        <v>10</v>
      </c>
      <c r="CU77" s="174">
        <v>20</v>
      </c>
      <c r="CV77" s="174">
        <v>5</v>
      </c>
      <c r="DH77" s="174">
        <v>7</v>
      </c>
      <c r="DI77" s="174" t="s">
        <v>1265</v>
      </c>
      <c r="DJ77" s="174">
        <v>-10</v>
      </c>
      <c r="DK77" s="174">
        <v>-40</v>
      </c>
      <c r="DL77" s="174">
        <v>15</v>
      </c>
      <c r="DM77" s="174">
        <v>10</v>
      </c>
      <c r="DN77" s="174">
        <v>1</v>
      </c>
      <c r="DQ77" s="174">
        <v>7</v>
      </c>
      <c r="DR77" s="174" t="s">
        <v>1265</v>
      </c>
      <c r="DS77" s="205">
        <v>0</v>
      </c>
      <c r="DT77" s="174">
        <v>-25</v>
      </c>
      <c r="DU77" s="174">
        <v>4</v>
      </c>
      <c r="DV77" s="174">
        <v>0</v>
      </c>
      <c r="DW77" s="174">
        <v>1</v>
      </c>
      <c r="DY77" s="174">
        <v>71</v>
      </c>
      <c r="DZ77" s="174" t="s">
        <v>1266</v>
      </c>
      <c r="EC77" s="174">
        <v>2</v>
      </c>
      <c r="ED77" s="174" t="s">
        <v>1267</v>
      </c>
      <c r="EE77" s="203">
        <v>0.6127999999999999</v>
      </c>
      <c r="EF77" s="174">
        <v>-40</v>
      </c>
      <c r="EH77" s="174">
        <v>7.0010000000000003</v>
      </c>
      <c r="EI77" s="174">
        <v>-56</v>
      </c>
      <c r="EK77" s="174">
        <v>-40</v>
      </c>
      <c r="EL77" s="174" t="s">
        <v>308</v>
      </c>
      <c r="EO77" s="174" t="s">
        <v>661</v>
      </c>
      <c r="EP77" s="174" t="s">
        <v>661</v>
      </c>
      <c r="EQ77" s="174" t="s">
        <v>415</v>
      </c>
      <c r="ER77" s="174" t="s">
        <v>1217</v>
      </c>
      <c r="ES77" s="174" t="s">
        <v>1217</v>
      </c>
      <c r="ET77" s="174" t="s">
        <v>1268</v>
      </c>
      <c r="EU77" s="174" t="s">
        <v>1217</v>
      </c>
      <c r="EV77" s="174" t="s">
        <v>1217</v>
      </c>
      <c r="EW77" s="174" t="s">
        <v>1217</v>
      </c>
      <c r="EX77" s="174" t="s">
        <v>1217</v>
      </c>
      <c r="EY77" s="174" t="s">
        <v>1217</v>
      </c>
      <c r="EZ77" s="174" t="s">
        <v>1217</v>
      </c>
      <c r="FA77" s="174" t="s">
        <v>1217</v>
      </c>
      <c r="FB77" s="174" t="s">
        <v>1178</v>
      </c>
      <c r="FC77" s="174" t="s">
        <v>1178</v>
      </c>
      <c r="FD77" s="174" t="s">
        <v>1269</v>
      </c>
      <c r="FE77" s="174" t="s">
        <v>414</v>
      </c>
      <c r="FF77" s="174" t="s">
        <v>1177</v>
      </c>
      <c r="FG77" s="174" t="s">
        <v>1270</v>
      </c>
      <c r="FH77" s="174" t="s">
        <v>1271</v>
      </c>
      <c r="FI77" s="174" t="s">
        <v>1217</v>
      </c>
      <c r="FJ77" s="174" t="s">
        <v>415</v>
      </c>
      <c r="FK77" s="174" t="s">
        <v>415</v>
      </c>
      <c r="FL77" s="174" t="s">
        <v>527</v>
      </c>
      <c r="FM77" s="174" t="s">
        <v>415</v>
      </c>
      <c r="FN77" s="174" t="s">
        <v>458</v>
      </c>
      <c r="FO77" s="174" t="s">
        <v>506</v>
      </c>
      <c r="FP77" s="174" t="s">
        <v>415</v>
      </c>
      <c r="FQ77" s="174" t="s">
        <v>618</v>
      </c>
      <c r="FR77" s="174" t="s">
        <v>618</v>
      </c>
      <c r="FS77" s="174" t="s">
        <v>1217</v>
      </c>
      <c r="FT77" s="174" t="s">
        <v>1217</v>
      </c>
      <c r="FU77" s="174" t="s">
        <v>1217</v>
      </c>
      <c r="FV77" s="174" t="s">
        <v>618</v>
      </c>
      <c r="FW77" s="174" t="s">
        <v>1272</v>
      </c>
      <c r="FX77" s="174" t="s">
        <v>1272</v>
      </c>
      <c r="FY77" s="174" t="s">
        <v>415</v>
      </c>
      <c r="FZ77" s="174" t="s">
        <v>1273</v>
      </c>
      <c r="GA77" s="174" t="s">
        <v>661</v>
      </c>
      <c r="GB77" s="174" t="s">
        <v>456</v>
      </c>
      <c r="GC77" s="174" t="s">
        <v>661</v>
      </c>
      <c r="GD77" s="174" t="s">
        <v>456</v>
      </c>
      <c r="GE77" s="174" t="s">
        <v>456</v>
      </c>
      <c r="GF77" s="174" t="s">
        <v>456</v>
      </c>
      <c r="GG77" s="174" t="s">
        <v>661</v>
      </c>
      <c r="GH77" s="174" t="s">
        <v>456</v>
      </c>
      <c r="GL77" s="174" t="s">
        <v>506</v>
      </c>
      <c r="GM77" s="174" t="s">
        <v>665</v>
      </c>
      <c r="GN77" s="174" t="s">
        <v>506</v>
      </c>
      <c r="GQ77" s="174" t="s">
        <v>661</v>
      </c>
      <c r="GR77" s="174" t="s">
        <v>4074</v>
      </c>
      <c r="HA77" s="174">
        <v>8</v>
      </c>
      <c r="HB77" s="197">
        <v>74</v>
      </c>
      <c r="HC77" s="194">
        <v>57</v>
      </c>
      <c r="HD77" s="238">
        <v>82</v>
      </c>
      <c r="HE77" s="236">
        <v>25</v>
      </c>
      <c r="HF77" s="183">
        <v>139</v>
      </c>
      <c r="HG77" s="193" t="e">
        <f t="shared" si="11"/>
        <v>#N/A</v>
      </c>
      <c r="HH77" s="192" t="e">
        <f t="shared" si="12"/>
        <v>#N/A</v>
      </c>
      <c r="HI77" s="198">
        <v>25</v>
      </c>
      <c r="HJ77" s="185">
        <v>127</v>
      </c>
      <c r="HK77" s="174">
        <v>75</v>
      </c>
      <c r="HL77" s="174">
        <v>355</v>
      </c>
      <c r="HM77" s="174">
        <v>360</v>
      </c>
      <c r="HN77" s="174">
        <v>295</v>
      </c>
      <c r="HO77" s="174">
        <v>195</v>
      </c>
      <c r="HP77" s="174">
        <v>185</v>
      </c>
      <c r="HQ77" s="174">
        <v>175</v>
      </c>
      <c r="HR77" s="174">
        <v>165</v>
      </c>
      <c r="HS77" s="174">
        <v>295</v>
      </c>
      <c r="HT77" s="174">
        <v>285</v>
      </c>
      <c r="HU77" s="174">
        <v>175</v>
      </c>
      <c r="HV77" s="174">
        <v>220</v>
      </c>
      <c r="HW77" s="174">
        <v>165</v>
      </c>
      <c r="HX77" s="174">
        <v>155</v>
      </c>
      <c r="HY77" s="174">
        <v>145</v>
      </c>
      <c r="HZ77" s="174">
        <v>135</v>
      </c>
      <c r="IA77" s="174">
        <v>210</v>
      </c>
      <c r="IB77" s="174">
        <v>190</v>
      </c>
      <c r="IC77" s="174">
        <v>135</v>
      </c>
      <c r="ID77" s="174">
        <v>105</v>
      </c>
      <c r="IE77" s="174">
        <v>85</v>
      </c>
      <c r="IF77" s="174">
        <v>77</v>
      </c>
      <c r="IM77" s="174">
        <v>3250000</v>
      </c>
      <c r="IN77" s="174">
        <v>75</v>
      </c>
    </row>
    <row r="78" spans="1:248" ht="13.35" customHeight="1" thickBot="1" x14ac:dyDescent="0.25">
      <c r="A78" s="183">
        <f t="shared" si="9"/>
        <v>77</v>
      </c>
      <c r="B78" s="184">
        <f t="shared" si="13"/>
        <v>2</v>
      </c>
      <c r="C78" s="183">
        <f t="shared" si="10"/>
        <v>77</v>
      </c>
      <c r="D78" s="174">
        <v>21</v>
      </c>
      <c r="E78" s="189" t="s">
        <v>569</v>
      </c>
      <c r="K78" s="174">
        <v>10</v>
      </c>
      <c r="L78" s="174">
        <v>10</v>
      </c>
      <c r="M78" s="174">
        <v>5</v>
      </c>
      <c r="N78" s="174">
        <v>5</v>
      </c>
      <c r="O78" s="174">
        <v>5</v>
      </c>
      <c r="P78" s="174">
        <v>5</v>
      </c>
      <c r="Q78" s="174">
        <v>5</v>
      </c>
      <c r="R78" s="174">
        <v>5</v>
      </c>
      <c r="S78" s="174">
        <v>10</v>
      </c>
      <c r="W78" s="174">
        <v>5</v>
      </c>
      <c r="X78" s="174">
        <v>10</v>
      </c>
      <c r="AA78" s="174">
        <v>10</v>
      </c>
      <c r="AB78" s="174">
        <v>10</v>
      </c>
      <c r="AC78" s="174">
        <v>5</v>
      </c>
      <c r="AF78" s="174">
        <v>15</v>
      </c>
      <c r="AG78" s="174">
        <v>10</v>
      </c>
      <c r="AL78" s="174">
        <v>10</v>
      </c>
      <c r="AM78" s="174">
        <v>5</v>
      </c>
      <c r="AO78" s="174">
        <v>10</v>
      </c>
      <c r="AP78" s="174">
        <v>10</v>
      </c>
      <c r="AS78" s="174">
        <v>10</v>
      </c>
      <c r="AT78" s="174">
        <v>15</v>
      </c>
      <c r="AW78" s="174">
        <v>5</v>
      </c>
      <c r="AX78" s="174">
        <v>10</v>
      </c>
      <c r="BA78" s="174">
        <v>10</v>
      </c>
      <c r="BC78" s="174">
        <v>5</v>
      </c>
      <c r="BD78" s="174">
        <v>5</v>
      </c>
      <c r="BE78" s="174">
        <v>5</v>
      </c>
      <c r="BF78" s="174">
        <v>5</v>
      </c>
      <c r="BI78" s="174">
        <v>5</v>
      </c>
      <c r="BJ78" s="174">
        <v>5</v>
      </c>
      <c r="BK78" s="174">
        <v>5</v>
      </c>
      <c r="BL78" s="174">
        <v>10</v>
      </c>
      <c r="BM78" s="174">
        <v>5</v>
      </c>
      <c r="BN78" s="174">
        <v>5</v>
      </c>
      <c r="BO78" s="174">
        <v>10</v>
      </c>
      <c r="BP78" s="174">
        <v>5</v>
      </c>
      <c r="BQ78" s="174">
        <v>10</v>
      </c>
      <c r="BR78" s="174">
        <v>5</v>
      </c>
      <c r="BS78" s="174">
        <v>15</v>
      </c>
      <c r="BT78" s="174">
        <v>5</v>
      </c>
      <c r="BU78" s="174">
        <v>5</v>
      </c>
      <c r="BV78" s="174">
        <v>5</v>
      </c>
      <c r="BW78" s="174">
        <v>5</v>
      </c>
      <c r="BX78" s="174">
        <v>10</v>
      </c>
      <c r="BY78" s="174">
        <v>5</v>
      </c>
      <c r="BZ78" s="174">
        <v>5</v>
      </c>
      <c r="CA78" s="174">
        <v>5</v>
      </c>
      <c r="CB78" s="174">
        <v>5</v>
      </c>
      <c r="CC78" s="174">
        <v>5</v>
      </c>
      <c r="CD78" s="174">
        <v>5</v>
      </c>
      <c r="CE78" s="174">
        <v>5</v>
      </c>
      <c r="CF78" s="174">
        <v>5</v>
      </c>
      <c r="CG78" s="174">
        <v>5</v>
      </c>
      <c r="CJ78" s="174">
        <v>10</v>
      </c>
      <c r="CL78" s="174">
        <v>5</v>
      </c>
      <c r="CQ78" s="174">
        <v>10</v>
      </c>
      <c r="CU78" s="174">
        <v>20</v>
      </c>
      <c r="CV78" s="174">
        <v>5</v>
      </c>
      <c r="CY78" s="174">
        <v>5</v>
      </c>
      <c r="CZ78" s="174">
        <v>5</v>
      </c>
      <c r="DB78" s="174">
        <v>5</v>
      </c>
      <c r="DC78" s="174">
        <v>5</v>
      </c>
      <c r="DD78" s="174">
        <v>5</v>
      </c>
      <c r="DH78" s="174">
        <v>8</v>
      </c>
      <c r="DI78" s="174" t="s">
        <v>1274</v>
      </c>
      <c r="DJ78" s="174">
        <v>-15</v>
      </c>
      <c r="DK78" s="174">
        <v>-50</v>
      </c>
      <c r="DL78" s="174">
        <v>15</v>
      </c>
      <c r="DM78" s="174">
        <v>15</v>
      </c>
      <c r="DN78" s="174">
        <v>1</v>
      </c>
      <c r="DQ78" s="174">
        <v>8</v>
      </c>
      <c r="DR78" s="174" t="s">
        <v>1274</v>
      </c>
      <c r="DS78" s="205">
        <v>-4</v>
      </c>
      <c r="DT78" s="174">
        <v>-34</v>
      </c>
      <c r="DU78" s="174">
        <v>4</v>
      </c>
      <c r="DV78" s="174">
        <v>4</v>
      </c>
      <c r="DW78" s="174">
        <v>1</v>
      </c>
      <c r="DY78" s="174">
        <v>91</v>
      </c>
      <c r="DZ78" s="174" t="s">
        <v>1275</v>
      </c>
      <c r="EC78" s="174">
        <v>8</v>
      </c>
      <c r="ED78" s="174" t="s">
        <v>1276</v>
      </c>
      <c r="EE78" s="203">
        <v>0.6382000000000001</v>
      </c>
      <c r="EF78" s="174">
        <v>-40</v>
      </c>
      <c r="EH78" s="174">
        <v>8.0009999999999994</v>
      </c>
      <c r="EI78" s="174">
        <v>-64</v>
      </c>
      <c r="EK78" s="174">
        <v>-25</v>
      </c>
      <c r="EL78" s="174" t="s">
        <v>1277</v>
      </c>
      <c r="EO78" s="174" t="s">
        <v>1176</v>
      </c>
      <c r="EP78" s="174" t="s">
        <v>1176</v>
      </c>
      <c r="EQ78" s="174" t="s">
        <v>1124</v>
      </c>
      <c r="ER78" s="174" t="s">
        <v>506</v>
      </c>
      <c r="ES78" s="174" t="s">
        <v>506</v>
      </c>
      <c r="ET78" s="174" t="s">
        <v>681</v>
      </c>
      <c r="EU78" s="174" t="s">
        <v>506</v>
      </c>
      <c r="EV78" s="174" t="s">
        <v>506</v>
      </c>
      <c r="EW78" s="174" t="s">
        <v>506</v>
      </c>
      <c r="EX78" s="174" t="s">
        <v>506</v>
      </c>
      <c r="EY78" s="174" t="s">
        <v>506</v>
      </c>
      <c r="EZ78" s="174" t="s">
        <v>506</v>
      </c>
      <c r="FA78" s="174" t="s">
        <v>506</v>
      </c>
      <c r="FB78" s="174" t="s">
        <v>618</v>
      </c>
      <c r="FC78" s="174" t="s">
        <v>506</v>
      </c>
      <c r="FD78" s="174" t="s">
        <v>456</v>
      </c>
      <c r="FE78" s="174" t="s">
        <v>618</v>
      </c>
      <c r="FF78" s="174" t="s">
        <v>1178</v>
      </c>
      <c r="FG78" s="174" t="s">
        <v>456</v>
      </c>
      <c r="FH78" s="174" t="s">
        <v>703</v>
      </c>
      <c r="FI78" s="174" t="s">
        <v>506</v>
      </c>
      <c r="FJ78" s="174" t="s">
        <v>560</v>
      </c>
      <c r="FK78" s="174" t="s">
        <v>560</v>
      </c>
      <c r="FL78" s="174" t="s">
        <v>415</v>
      </c>
      <c r="FM78" s="174" t="s">
        <v>560</v>
      </c>
      <c r="FN78" s="174" t="s">
        <v>527</v>
      </c>
      <c r="FO78" s="174" t="s">
        <v>458</v>
      </c>
      <c r="FP78" s="174" t="s">
        <v>560</v>
      </c>
      <c r="FQ78" s="174" t="s">
        <v>621</v>
      </c>
      <c r="FR78" s="174" t="s">
        <v>621</v>
      </c>
      <c r="FS78" s="174" t="s">
        <v>1125</v>
      </c>
      <c r="FT78" s="174" t="s">
        <v>1125</v>
      </c>
      <c r="FU78" s="174" t="s">
        <v>1125</v>
      </c>
      <c r="FV78" s="174" t="s">
        <v>1272</v>
      </c>
      <c r="FY78" s="174" t="s">
        <v>423</v>
      </c>
      <c r="FZ78" s="174" t="s">
        <v>702</v>
      </c>
      <c r="GA78" s="174" t="s">
        <v>1177</v>
      </c>
      <c r="GB78" s="174" t="s">
        <v>661</v>
      </c>
      <c r="GC78" s="174" t="s">
        <v>1177</v>
      </c>
      <c r="GD78" s="174" t="s">
        <v>661</v>
      </c>
      <c r="GE78" s="174" t="s">
        <v>661</v>
      </c>
      <c r="GF78" s="174" t="s">
        <v>661</v>
      </c>
      <c r="GG78" s="174" t="s">
        <v>1177</v>
      </c>
      <c r="GH78" s="174" t="s">
        <v>661</v>
      </c>
      <c r="GL78" s="174" t="s">
        <v>1278</v>
      </c>
      <c r="GM78" s="174" t="s">
        <v>609</v>
      </c>
      <c r="GN78" s="174" t="s">
        <v>609</v>
      </c>
      <c r="GQ78" s="174" t="s">
        <v>4074</v>
      </c>
      <c r="GR78" s="174" t="s">
        <v>1377</v>
      </c>
      <c r="HA78" s="174">
        <v>9</v>
      </c>
      <c r="HB78" s="197">
        <v>75</v>
      </c>
      <c r="HC78" s="194">
        <v>58</v>
      </c>
      <c r="HD78" s="238">
        <v>83</v>
      </c>
      <c r="HE78" s="236">
        <v>25</v>
      </c>
      <c r="HF78" s="183">
        <v>140</v>
      </c>
      <c r="HG78" s="193" t="e">
        <f t="shared" si="11"/>
        <v>#N/A</v>
      </c>
      <c r="HH78" s="192" t="e">
        <f t="shared" si="12"/>
        <v>#N/A</v>
      </c>
      <c r="HI78" s="198">
        <v>25</v>
      </c>
      <c r="HJ78" s="185">
        <v>127.5</v>
      </c>
      <c r="HK78" s="174">
        <v>76</v>
      </c>
      <c r="HL78" s="174">
        <v>358</v>
      </c>
      <c r="HM78" s="174">
        <v>364</v>
      </c>
      <c r="HN78" s="174">
        <v>298</v>
      </c>
      <c r="HO78" s="174">
        <v>196</v>
      </c>
      <c r="HP78" s="174">
        <v>186</v>
      </c>
      <c r="HQ78" s="174">
        <v>176</v>
      </c>
      <c r="HR78" s="174">
        <v>166</v>
      </c>
      <c r="HS78" s="174">
        <v>298</v>
      </c>
      <c r="HT78" s="174">
        <v>288</v>
      </c>
      <c r="HU78" s="174">
        <v>176</v>
      </c>
      <c r="HV78" s="174">
        <v>222</v>
      </c>
      <c r="HW78" s="174">
        <v>166</v>
      </c>
      <c r="HX78" s="174">
        <v>156</v>
      </c>
      <c r="HY78" s="174">
        <v>146</v>
      </c>
      <c r="HZ78" s="174">
        <v>136</v>
      </c>
      <c r="IA78" s="174">
        <v>212</v>
      </c>
      <c r="IB78" s="174">
        <v>192</v>
      </c>
      <c r="IC78" s="174">
        <v>136</v>
      </c>
      <c r="ID78" s="174">
        <v>106</v>
      </c>
      <c r="IE78" s="174">
        <v>86</v>
      </c>
      <c r="IF78" s="174">
        <v>78</v>
      </c>
      <c r="IM78" s="174">
        <v>3300000</v>
      </c>
      <c r="IN78" s="174">
        <v>76</v>
      </c>
    </row>
    <row r="79" spans="1:248" ht="13.35" customHeight="1" thickBot="1" x14ac:dyDescent="0.25">
      <c r="A79" s="183">
        <f t="shared" si="9"/>
        <v>78</v>
      </c>
      <c r="B79" s="184">
        <f t="shared" si="13"/>
        <v>2</v>
      </c>
      <c r="C79" s="183">
        <f t="shared" si="10"/>
        <v>78</v>
      </c>
      <c r="D79" s="174">
        <v>22</v>
      </c>
      <c r="E79" s="189" t="s">
        <v>574</v>
      </c>
      <c r="X79" s="174">
        <v>10</v>
      </c>
      <c r="AC79" s="174">
        <v>5</v>
      </c>
      <c r="AL79" s="174">
        <v>10</v>
      </c>
      <c r="AO79" s="174">
        <v>10</v>
      </c>
      <c r="AS79" s="174">
        <v>10</v>
      </c>
      <c r="AT79" s="174">
        <v>15</v>
      </c>
      <c r="AW79" s="174">
        <v>5</v>
      </c>
      <c r="AX79" s="174">
        <v>10</v>
      </c>
      <c r="BA79" s="174">
        <v>10</v>
      </c>
      <c r="BC79" s="174">
        <v>5</v>
      </c>
      <c r="BE79" s="174">
        <v>5</v>
      </c>
      <c r="BF79" s="174">
        <v>5</v>
      </c>
      <c r="BI79" s="174">
        <v>5</v>
      </c>
      <c r="BJ79" s="174">
        <v>5</v>
      </c>
      <c r="BK79" s="174">
        <v>5</v>
      </c>
      <c r="BL79" s="174">
        <v>10</v>
      </c>
      <c r="BM79" s="174">
        <v>5</v>
      </c>
      <c r="BN79" s="174">
        <v>5</v>
      </c>
      <c r="BO79" s="174">
        <v>10</v>
      </c>
      <c r="BP79" s="174">
        <v>5</v>
      </c>
      <c r="BQ79" s="174">
        <v>10</v>
      </c>
      <c r="BR79" s="174">
        <v>5</v>
      </c>
      <c r="BT79" s="174">
        <v>5</v>
      </c>
      <c r="BU79" s="174">
        <v>5</v>
      </c>
      <c r="BV79" s="174">
        <v>5</v>
      </c>
      <c r="BW79" s="174">
        <v>5</v>
      </c>
      <c r="BX79" s="174">
        <v>10</v>
      </c>
      <c r="BY79" s="174">
        <v>5</v>
      </c>
      <c r="BZ79" s="174">
        <v>5</v>
      </c>
      <c r="CA79" s="174">
        <v>5</v>
      </c>
      <c r="CB79" s="174">
        <v>5</v>
      </c>
      <c r="CC79" s="174">
        <v>5</v>
      </c>
      <c r="CD79" s="174">
        <v>5</v>
      </c>
      <c r="CE79" s="174">
        <v>5</v>
      </c>
      <c r="CF79" s="174">
        <v>5</v>
      </c>
      <c r="CG79" s="174">
        <v>5</v>
      </c>
      <c r="CJ79" s="174">
        <v>10</v>
      </c>
      <c r="CL79" s="174">
        <v>5</v>
      </c>
      <c r="CQ79" s="174">
        <v>10</v>
      </c>
      <c r="CU79" s="174">
        <v>20</v>
      </c>
      <c r="CV79" s="174">
        <v>5</v>
      </c>
      <c r="DB79" s="174">
        <v>5</v>
      </c>
      <c r="DC79" s="174">
        <v>5</v>
      </c>
      <c r="DD79" s="174">
        <v>5</v>
      </c>
      <c r="DH79" s="174">
        <v>9</v>
      </c>
      <c r="DI79" s="174" t="s">
        <v>1279</v>
      </c>
      <c r="DJ79" s="174">
        <v>-5</v>
      </c>
      <c r="DK79" s="174">
        <v>-50</v>
      </c>
      <c r="DL79" s="174">
        <v>0</v>
      </c>
      <c r="DM79" s="174">
        <v>0</v>
      </c>
      <c r="DN79" s="174">
        <v>2</v>
      </c>
      <c r="DQ79" s="174">
        <v>9</v>
      </c>
      <c r="DR79" s="174" t="s">
        <v>1279</v>
      </c>
      <c r="DS79" s="205">
        <v>0</v>
      </c>
      <c r="DT79" s="174">
        <v>-34</v>
      </c>
      <c r="DU79" s="174">
        <v>0</v>
      </c>
      <c r="DV79" s="174">
        <v>0</v>
      </c>
      <c r="DW79" s="174">
        <v>2</v>
      </c>
      <c r="DY79" s="174">
        <v>93</v>
      </c>
      <c r="DZ79" s="174" t="s">
        <v>1275</v>
      </c>
      <c r="EC79" s="174">
        <v>25</v>
      </c>
      <c r="ED79" s="174" t="s">
        <v>4079</v>
      </c>
      <c r="EE79" s="203">
        <v>0.66360000000000008</v>
      </c>
      <c r="EF79" s="174">
        <v>-40</v>
      </c>
      <c r="EH79" s="174">
        <v>9.0009999999999994</v>
      </c>
      <c r="EI79" s="174">
        <v>-72</v>
      </c>
      <c r="EK79" s="174">
        <v>-10</v>
      </c>
      <c r="EL79" s="174" t="s">
        <v>316</v>
      </c>
      <c r="EO79" s="174" t="s">
        <v>618</v>
      </c>
      <c r="EP79" s="174" t="s">
        <v>618</v>
      </c>
      <c r="EQ79" s="174" t="s">
        <v>675</v>
      </c>
      <c r="ER79" s="174" t="s">
        <v>547</v>
      </c>
      <c r="ES79" s="174" t="s">
        <v>547</v>
      </c>
      <c r="ET79" s="174" t="s">
        <v>530</v>
      </c>
      <c r="EU79" s="174" t="s">
        <v>547</v>
      </c>
      <c r="EV79" s="174" t="s">
        <v>458</v>
      </c>
      <c r="EW79" s="174" t="s">
        <v>458</v>
      </c>
      <c r="EX79" s="174" t="s">
        <v>458</v>
      </c>
      <c r="EY79" s="174" t="s">
        <v>547</v>
      </c>
      <c r="EZ79" s="174" t="s">
        <v>547</v>
      </c>
      <c r="FA79" s="174" t="s">
        <v>547</v>
      </c>
      <c r="FB79" s="174" t="s">
        <v>506</v>
      </c>
      <c r="FC79" s="174" t="s">
        <v>415</v>
      </c>
      <c r="FD79" s="174" t="s">
        <v>414</v>
      </c>
      <c r="FE79" s="174" t="s">
        <v>1217</v>
      </c>
      <c r="FF79" s="174" t="s">
        <v>1232</v>
      </c>
      <c r="FG79" s="174" t="s">
        <v>661</v>
      </c>
      <c r="FH79" s="174" t="s">
        <v>506</v>
      </c>
      <c r="FI79" s="174" t="s">
        <v>458</v>
      </c>
      <c r="FJ79" s="174" t="s">
        <v>561</v>
      </c>
      <c r="FK79" s="174" t="s">
        <v>561</v>
      </c>
      <c r="FL79" s="174" t="s">
        <v>560</v>
      </c>
      <c r="FM79" s="174" t="s">
        <v>561</v>
      </c>
      <c r="FN79" s="174" t="s">
        <v>415</v>
      </c>
      <c r="FO79" s="174" t="s">
        <v>4273</v>
      </c>
      <c r="FP79" s="174" t="s">
        <v>561</v>
      </c>
      <c r="FQ79" s="174" t="s">
        <v>661</v>
      </c>
      <c r="FR79" s="174" t="s">
        <v>661</v>
      </c>
      <c r="FS79" s="174" t="s">
        <v>458</v>
      </c>
      <c r="FT79" s="174" t="s">
        <v>458</v>
      </c>
      <c r="FU79" s="174" t="s">
        <v>458</v>
      </c>
      <c r="FV79" s="174" t="s">
        <v>661</v>
      </c>
      <c r="FW79" s="174" t="s">
        <v>677</v>
      </c>
      <c r="FX79" s="174" t="s">
        <v>677</v>
      </c>
      <c r="FY79" s="174" t="s">
        <v>448</v>
      </c>
      <c r="FZ79" s="174" t="s">
        <v>1281</v>
      </c>
      <c r="GA79" s="174" t="s">
        <v>618</v>
      </c>
      <c r="GB79" s="174" t="s">
        <v>1177</v>
      </c>
      <c r="GC79" s="174" t="s">
        <v>618</v>
      </c>
      <c r="GD79" s="174" t="s">
        <v>1177</v>
      </c>
      <c r="GE79" s="174" t="s">
        <v>1177</v>
      </c>
      <c r="GF79" s="174" t="s">
        <v>1177</v>
      </c>
      <c r="GG79" s="174" t="s">
        <v>618</v>
      </c>
      <c r="GH79" s="174" t="s">
        <v>1177</v>
      </c>
      <c r="GL79" s="174" t="s">
        <v>609</v>
      </c>
      <c r="GN79" s="174" t="s">
        <v>458</v>
      </c>
      <c r="GQ79" s="174" t="s">
        <v>1377</v>
      </c>
      <c r="GR79" s="174" t="s">
        <v>618</v>
      </c>
      <c r="HA79" s="174">
        <v>10</v>
      </c>
      <c r="HB79" s="197">
        <v>76</v>
      </c>
      <c r="HC79" s="194">
        <v>58</v>
      </c>
      <c r="HD79" s="238">
        <v>83</v>
      </c>
      <c r="HE79" s="236">
        <v>25</v>
      </c>
      <c r="HF79" s="183">
        <v>141</v>
      </c>
      <c r="HG79" s="193" t="e">
        <f t="shared" si="11"/>
        <v>#N/A</v>
      </c>
      <c r="HH79" s="192" t="e">
        <f t="shared" si="12"/>
        <v>#N/A</v>
      </c>
      <c r="HI79" s="198">
        <v>25</v>
      </c>
      <c r="HJ79" s="185">
        <v>128</v>
      </c>
      <c r="HK79" s="174">
        <v>77</v>
      </c>
      <c r="HL79" s="174">
        <v>361</v>
      </c>
      <c r="HM79" s="174">
        <v>368</v>
      </c>
      <c r="HN79" s="174">
        <v>301</v>
      </c>
      <c r="HO79" s="174">
        <v>197</v>
      </c>
      <c r="HP79" s="174">
        <v>187</v>
      </c>
      <c r="HQ79" s="174">
        <v>177</v>
      </c>
      <c r="HR79" s="174">
        <v>167</v>
      </c>
      <c r="HS79" s="174">
        <v>301</v>
      </c>
      <c r="HT79" s="174">
        <v>291</v>
      </c>
      <c r="HU79" s="174">
        <v>177</v>
      </c>
      <c r="HV79" s="174">
        <v>224</v>
      </c>
      <c r="HW79" s="174">
        <v>167</v>
      </c>
      <c r="HX79" s="174">
        <v>157</v>
      </c>
      <c r="HY79" s="174">
        <v>147</v>
      </c>
      <c r="HZ79" s="174">
        <v>137</v>
      </c>
      <c r="IA79" s="174">
        <v>214</v>
      </c>
      <c r="IB79" s="174">
        <v>194</v>
      </c>
      <c r="IC79" s="174">
        <v>137</v>
      </c>
      <c r="ID79" s="174">
        <v>107</v>
      </c>
      <c r="IE79" s="174">
        <v>87</v>
      </c>
      <c r="IF79" s="174">
        <v>79</v>
      </c>
      <c r="IM79" s="174">
        <v>3350000</v>
      </c>
      <c r="IN79" s="174">
        <v>77</v>
      </c>
    </row>
    <row r="80" spans="1:248" ht="13.35" customHeight="1" thickBot="1" x14ac:dyDescent="0.25">
      <c r="A80" s="183">
        <f t="shared" si="9"/>
        <v>79</v>
      </c>
      <c r="B80" s="184">
        <f t="shared" si="13"/>
        <v>2</v>
      </c>
      <c r="C80" s="183">
        <f t="shared" si="10"/>
        <v>79</v>
      </c>
      <c r="D80" s="174">
        <v>23</v>
      </c>
      <c r="E80" s="189" t="s">
        <v>579</v>
      </c>
      <c r="AL80" s="174">
        <v>10</v>
      </c>
      <c r="AS80" s="174">
        <v>10</v>
      </c>
      <c r="AT80" s="174">
        <v>15</v>
      </c>
      <c r="AW80" s="174">
        <v>5</v>
      </c>
      <c r="AX80" s="174">
        <v>10</v>
      </c>
      <c r="BA80" s="174">
        <v>10</v>
      </c>
      <c r="BC80" s="174">
        <v>5</v>
      </c>
      <c r="BE80" s="174">
        <v>5</v>
      </c>
      <c r="BI80" s="174">
        <v>5</v>
      </c>
      <c r="BJ80" s="174">
        <v>5</v>
      </c>
      <c r="BK80" s="174">
        <v>5</v>
      </c>
      <c r="BL80" s="174">
        <v>10</v>
      </c>
      <c r="BM80" s="174">
        <v>5</v>
      </c>
      <c r="BN80" s="174">
        <v>5</v>
      </c>
      <c r="BO80" s="174">
        <v>10</v>
      </c>
      <c r="BP80" s="174">
        <v>5</v>
      </c>
      <c r="BQ80" s="174">
        <v>10</v>
      </c>
      <c r="BR80" s="174">
        <v>5</v>
      </c>
      <c r="BT80" s="174">
        <v>5</v>
      </c>
      <c r="BU80" s="174">
        <v>5</v>
      </c>
      <c r="BV80" s="174">
        <v>5</v>
      </c>
      <c r="BW80" s="174">
        <v>5</v>
      </c>
      <c r="BX80" s="174">
        <v>10</v>
      </c>
      <c r="BY80" s="174">
        <v>5</v>
      </c>
      <c r="BZ80" s="174">
        <v>5</v>
      </c>
      <c r="CA80" s="174">
        <v>5</v>
      </c>
      <c r="CB80" s="174">
        <v>5</v>
      </c>
      <c r="CC80" s="174">
        <v>5</v>
      </c>
      <c r="CD80" s="174">
        <v>5</v>
      </c>
      <c r="CE80" s="174">
        <v>5</v>
      </c>
      <c r="CF80" s="174">
        <v>5</v>
      </c>
      <c r="CG80" s="174">
        <v>5</v>
      </c>
      <c r="CJ80" s="174">
        <v>10</v>
      </c>
      <c r="CL80" s="174">
        <v>5</v>
      </c>
      <c r="CQ80" s="174">
        <v>10</v>
      </c>
      <c r="CU80" s="174">
        <v>20</v>
      </c>
      <c r="CV80" s="174">
        <v>5</v>
      </c>
      <c r="DB80" s="174">
        <v>5</v>
      </c>
      <c r="DH80" s="174">
        <v>10</v>
      </c>
      <c r="DI80" s="174" t="s">
        <v>1282</v>
      </c>
      <c r="DJ80" s="174">
        <v>-10</v>
      </c>
      <c r="DK80" s="174">
        <v>-70</v>
      </c>
      <c r="DL80" s="174">
        <v>10</v>
      </c>
      <c r="DM80" s="174">
        <v>5</v>
      </c>
      <c r="DN80" s="174">
        <v>2</v>
      </c>
      <c r="DQ80" s="174">
        <v>10</v>
      </c>
      <c r="DR80" s="174" t="s">
        <v>1282</v>
      </c>
      <c r="DS80" s="205">
        <v>0</v>
      </c>
      <c r="DT80" s="174">
        <v>-51</v>
      </c>
      <c r="DU80" s="174">
        <v>0</v>
      </c>
      <c r="DV80" s="174">
        <v>0</v>
      </c>
      <c r="DW80" s="174">
        <v>2</v>
      </c>
      <c r="DY80" s="174">
        <v>95</v>
      </c>
      <c r="DZ80" s="174" t="s">
        <v>1280</v>
      </c>
      <c r="EC80" s="174">
        <v>30</v>
      </c>
      <c r="ED80" s="174" t="s">
        <v>4083</v>
      </c>
      <c r="EE80" s="203">
        <v>0.68900000000000017</v>
      </c>
      <c r="EF80" s="174">
        <v>-40</v>
      </c>
      <c r="EH80" s="174">
        <v>10.000999999999999</v>
      </c>
      <c r="EI80" s="174">
        <v>-80</v>
      </c>
      <c r="EO80" s="174" t="s">
        <v>506</v>
      </c>
      <c r="EP80" s="174" t="s">
        <v>506</v>
      </c>
      <c r="EQ80" s="174" t="s">
        <v>1128</v>
      </c>
      <c r="ER80" s="174" t="s">
        <v>458</v>
      </c>
      <c r="ES80" s="174" t="s">
        <v>458</v>
      </c>
      <c r="ET80" s="174" t="s">
        <v>675</v>
      </c>
      <c r="EU80" s="174" t="s">
        <v>458</v>
      </c>
      <c r="EV80" s="174" t="s">
        <v>1284</v>
      </c>
      <c r="EW80" s="174" t="s">
        <v>1284</v>
      </c>
      <c r="EX80" s="174" t="s">
        <v>1284</v>
      </c>
      <c r="EY80" s="174" t="s">
        <v>458</v>
      </c>
      <c r="EZ80" s="174" t="s">
        <v>458</v>
      </c>
      <c r="FA80" s="174" t="s">
        <v>458</v>
      </c>
      <c r="FB80" s="174" t="s">
        <v>702</v>
      </c>
      <c r="FC80" s="174" t="s">
        <v>543</v>
      </c>
      <c r="FD80" s="174" t="s">
        <v>661</v>
      </c>
      <c r="FE80" s="174" t="s">
        <v>1268</v>
      </c>
      <c r="FF80" s="174" t="s">
        <v>1217</v>
      </c>
      <c r="FG80" s="174" t="s">
        <v>1177</v>
      </c>
      <c r="FH80" s="174" t="s">
        <v>609</v>
      </c>
      <c r="FI80" s="174" t="s">
        <v>1285</v>
      </c>
      <c r="FJ80" s="174" t="s">
        <v>1124</v>
      </c>
      <c r="FK80" s="174" t="s">
        <v>1124</v>
      </c>
      <c r="FL80" s="174" t="s">
        <v>561</v>
      </c>
      <c r="FM80" s="174" t="s">
        <v>1124</v>
      </c>
      <c r="FN80" s="174" t="s">
        <v>560</v>
      </c>
      <c r="FO80" s="174" t="s">
        <v>415</v>
      </c>
      <c r="FP80" s="174" t="s">
        <v>1124</v>
      </c>
      <c r="FQ80" s="174" t="s">
        <v>677</v>
      </c>
      <c r="FR80" s="174" t="s">
        <v>677</v>
      </c>
      <c r="FS80" s="174" t="s">
        <v>527</v>
      </c>
      <c r="FT80" s="174" t="s">
        <v>527</v>
      </c>
      <c r="FU80" s="174" t="s">
        <v>527</v>
      </c>
      <c r="FV80" s="174" t="s">
        <v>677</v>
      </c>
      <c r="FW80" s="174" t="s">
        <v>675</v>
      </c>
      <c r="FX80" s="174" t="s">
        <v>675</v>
      </c>
      <c r="FY80" s="174" t="s">
        <v>458</v>
      </c>
      <c r="FZ80" s="174" t="s">
        <v>459</v>
      </c>
      <c r="GA80" s="174" t="s">
        <v>1281</v>
      </c>
      <c r="GB80" s="174" t="s">
        <v>618</v>
      </c>
      <c r="GC80" s="174" t="s">
        <v>1281</v>
      </c>
      <c r="GD80" s="174" t="s">
        <v>618</v>
      </c>
      <c r="GE80" s="174" t="s">
        <v>618</v>
      </c>
      <c r="GF80" s="174" t="s">
        <v>618</v>
      </c>
      <c r="GG80" s="174" t="s">
        <v>1281</v>
      </c>
      <c r="GH80" s="174" t="s">
        <v>618</v>
      </c>
      <c r="GL80" s="174" t="s">
        <v>415</v>
      </c>
      <c r="GM80" s="174" t="s">
        <v>458</v>
      </c>
      <c r="GN80" s="174" t="s">
        <v>459</v>
      </c>
      <c r="GQ80" s="174" t="s">
        <v>618</v>
      </c>
      <c r="GR80" s="174" t="s">
        <v>506</v>
      </c>
      <c r="HA80" s="174">
        <v>11</v>
      </c>
      <c r="HB80" s="197">
        <v>77</v>
      </c>
      <c r="HC80" s="194">
        <v>59</v>
      </c>
      <c r="HD80" s="238">
        <v>84</v>
      </c>
      <c r="HE80" s="236">
        <v>25</v>
      </c>
      <c r="HF80" s="183">
        <v>142</v>
      </c>
      <c r="HG80" s="193" t="e">
        <f t="shared" si="11"/>
        <v>#N/A</v>
      </c>
      <c r="HH80" s="192" t="e">
        <f t="shared" si="12"/>
        <v>#N/A</v>
      </c>
      <c r="HI80" s="198">
        <v>25</v>
      </c>
      <c r="HJ80" s="185">
        <v>128.5</v>
      </c>
      <c r="HK80" s="174">
        <v>78</v>
      </c>
      <c r="HL80" s="174">
        <v>364</v>
      </c>
      <c r="HM80" s="174">
        <v>372</v>
      </c>
      <c r="HN80" s="174">
        <v>304</v>
      </c>
      <c r="HO80" s="174">
        <v>198</v>
      </c>
      <c r="HP80" s="174">
        <v>188</v>
      </c>
      <c r="HQ80" s="174">
        <v>178</v>
      </c>
      <c r="HR80" s="174">
        <v>168</v>
      </c>
      <c r="HS80" s="174">
        <v>304</v>
      </c>
      <c r="HT80" s="174">
        <v>294</v>
      </c>
      <c r="HU80" s="174">
        <v>178</v>
      </c>
      <c r="HV80" s="174">
        <v>226</v>
      </c>
      <c r="HW80" s="174">
        <v>168</v>
      </c>
      <c r="HX80" s="174">
        <v>158</v>
      </c>
      <c r="HY80" s="174">
        <v>148</v>
      </c>
      <c r="HZ80" s="174">
        <v>138</v>
      </c>
      <c r="IA80" s="174">
        <v>216</v>
      </c>
      <c r="IB80" s="174">
        <v>196</v>
      </c>
      <c r="IC80" s="174">
        <v>138</v>
      </c>
      <c r="ID80" s="174">
        <v>108</v>
      </c>
      <c r="IE80" s="174">
        <v>88</v>
      </c>
      <c r="IF80" s="174">
        <v>80</v>
      </c>
      <c r="IM80" s="174">
        <v>3400000</v>
      </c>
      <c r="IN80" s="174">
        <v>78</v>
      </c>
    </row>
    <row r="81" spans="1:248" ht="13.35" customHeight="1" thickBot="1" x14ac:dyDescent="0.25">
      <c r="A81" s="183">
        <f t="shared" si="9"/>
        <v>80</v>
      </c>
      <c r="B81" s="184">
        <f t="shared" si="13"/>
        <v>3</v>
      </c>
      <c r="C81" s="183">
        <f t="shared" si="10"/>
        <v>80</v>
      </c>
      <c r="D81" s="174">
        <v>24</v>
      </c>
      <c r="E81" s="189" t="s">
        <v>586</v>
      </c>
      <c r="I81" s="174">
        <v>15</v>
      </c>
      <c r="V81" s="174">
        <v>10</v>
      </c>
      <c r="CV81" s="174">
        <v>5</v>
      </c>
      <c r="DH81" s="174">
        <v>11</v>
      </c>
      <c r="DI81" s="174" t="s">
        <v>1286</v>
      </c>
      <c r="DJ81" s="174">
        <v>-15</v>
      </c>
      <c r="DK81" s="174">
        <v>-90</v>
      </c>
      <c r="DL81" s="174">
        <v>20</v>
      </c>
      <c r="DM81" s="174">
        <v>15</v>
      </c>
      <c r="DN81" s="174">
        <v>2</v>
      </c>
      <c r="DQ81" s="174">
        <v>11</v>
      </c>
      <c r="DR81" s="174" t="s">
        <v>1286</v>
      </c>
      <c r="DS81" s="205">
        <v>-4</v>
      </c>
      <c r="DT81" s="174">
        <v>-68</v>
      </c>
      <c r="DU81" s="174">
        <v>8</v>
      </c>
      <c r="DV81" s="174">
        <v>4</v>
      </c>
      <c r="DW81" s="174">
        <v>2</v>
      </c>
      <c r="DY81" s="174">
        <v>97</v>
      </c>
      <c r="DZ81" s="174" t="s">
        <v>1280</v>
      </c>
      <c r="EC81" s="174">
        <v>40</v>
      </c>
      <c r="ED81" s="174" t="s">
        <v>4082</v>
      </c>
      <c r="EE81" s="203">
        <v>0.71440000000000026</v>
      </c>
      <c r="EF81" s="174">
        <v>-35</v>
      </c>
      <c r="EH81" s="174">
        <v>11.000999999999999</v>
      </c>
      <c r="EI81" s="174">
        <v>-88</v>
      </c>
      <c r="EK81" s="174" t="s">
        <v>1288</v>
      </c>
      <c r="EO81" s="174" t="s">
        <v>1289</v>
      </c>
      <c r="EP81" s="174" t="s">
        <v>1289</v>
      </c>
      <c r="EQ81" s="174" t="s">
        <v>487</v>
      </c>
      <c r="ER81" s="174" t="s">
        <v>459</v>
      </c>
      <c r="ES81" s="174" t="s">
        <v>459</v>
      </c>
      <c r="ET81" s="174" t="s">
        <v>1290</v>
      </c>
      <c r="EU81" s="174" t="s">
        <v>459</v>
      </c>
      <c r="EV81" s="174" t="s">
        <v>1268</v>
      </c>
      <c r="EW81" s="174" t="s">
        <v>1291</v>
      </c>
      <c r="EX81" s="174" t="s">
        <v>1291</v>
      </c>
      <c r="EY81" s="174" t="s">
        <v>459</v>
      </c>
      <c r="EZ81" s="174" t="s">
        <v>459</v>
      </c>
      <c r="FA81" s="174" t="s">
        <v>459</v>
      </c>
      <c r="FB81" s="174" t="s">
        <v>609</v>
      </c>
      <c r="FC81" s="174" t="s">
        <v>1268</v>
      </c>
      <c r="FD81" s="174" t="s">
        <v>1177</v>
      </c>
      <c r="FE81" s="174" t="s">
        <v>675</v>
      </c>
      <c r="FF81" s="174" t="s">
        <v>1284</v>
      </c>
      <c r="FG81" s="174" t="s">
        <v>1292</v>
      </c>
      <c r="FI81" s="174" t="s">
        <v>548</v>
      </c>
      <c r="FJ81" s="174" t="s">
        <v>1137</v>
      </c>
      <c r="FK81" s="174" t="s">
        <v>1137</v>
      </c>
      <c r="FL81" s="174" t="s">
        <v>1124</v>
      </c>
      <c r="FM81" s="174" t="s">
        <v>1137</v>
      </c>
      <c r="FN81" s="174" t="s">
        <v>561</v>
      </c>
      <c r="FO81" s="174" t="s">
        <v>560</v>
      </c>
      <c r="FP81" s="174" t="s">
        <v>1137</v>
      </c>
      <c r="FQ81" s="174" t="s">
        <v>675</v>
      </c>
      <c r="FR81" s="174" t="s">
        <v>675</v>
      </c>
      <c r="FS81" s="174" t="s">
        <v>415</v>
      </c>
      <c r="FT81" s="174" t="s">
        <v>415</v>
      </c>
      <c r="FU81" s="174" t="s">
        <v>415</v>
      </c>
      <c r="FV81" s="174" t="s">
        <v>675</v>
      </c>
      <c r="FW81" s="174" t="s">
        <v>487</v>
      </c>
      <c r="FX81" s="174" t="s">
        <v>487</v>
      </c>
      <c r="FY81" s="174" t="s">
        <v>487</v>
      </c>
      <c r="FZ81" s="174" t="s">
        <v>543</v>
      </c>
      <c r="GA81" s="174" t="s">
        <v>1289</v>
      </c>
      <c r="GB81" s="174" t="s">
        <v>1281</v>
      </c>
      <c r="GC81" s="174" t="s">
        <v>1289</v>
      </c>
      <c r="GD81" s="174" t="s">
        <v>1281</v>
      </c>
      <c r="GE81" s="174" t="s">
        <v>1281</v>
      </c>
      <c r="GF81" s="174" t="s">
        <v>1281</v>
      </c>
      <c r="GG81" s="174" t="s">
        <v>1289</v>
      </c>
      <c r="GH81" s="174" t="s">
        <v>1281</v>
      </c>
      <c r="GL81" s="174" t="s">
        <v>543</v>
      </c>
      <c r="GM81" s="174" t="s">
        <v>681</v>
      </c>
      <c r="GN81" s="174" t="s">
        <v>666</v>
      </c>
      <c r="GQ81" s="174" t="s">
        <v>506</v>
      </c>
      <c r="GR81" s="174" t="s">
        <v>609</v>
      </c>
      <c r="HA81" s="174">
        <v>12</v>
      </c>
      <c r="HB81" s="197">
        <v>78</v>
      </c>
      <c r="HC81" s="194">
        <v>59</v>
      </c>
      <c r="HD81" s="238">
        <v>84</v>
      </c>
      <c r="HE81" s="236">
        <v>25</v>
      </c>
      <c r="HF81" s="183">
        <v>143</v>
      </c>
      <c r="HG81" s="193" t="e">
        <f t="shared" si="11"/>
        <v>#N/A</v>
      </c>
      <c r="HH81" s="192" t="e">
        <f t="shared" si="12"/>
        <v>#N/A</v>
      </c>
      <c r="HI81" s="198">
        <v>25</v>
      </c>
      <c r="HJ81" s="185">
        <v>129</v>
      </c>
      <c r="HK81" s="174">
        <v>79</v>
      </c>
      <c r="HL81" s="174">
        <v>367</v>
      </c>
      <c r="HM81" s="174">
        <v>376</v>
      </c>
      <c r="HN81" s="174">
        <v>307</v>
      </c>
      <c r="HO81" s="174">
        <v>199</v>
      </c>
      <c r="HP81" s="174">
        <v>189</v>
      </c>
      <c r="HQ81" s="174">
        <v>179</v>
      </c>
      <c r="HR81" s="174">
        <v>169</v>
      </c>
      <c r="HS81" s="174">
        <v>307</v>
      </c>
      <c r="HT81" s="174">
        <v>297</v>
      </c>
      <c r="HU81" s="174">
        <v>179</v>
      </c>
      <c r="HV81" s="174">
        <v>228</v>
      </c>
      <c r="HW81" s="174">
        <v>169</v>
      </c>
      <c r="HX81" s="174">
        <v>159</v>
      </c>
      <c r="HY81" s="174">
        <v>149</v>
      </c>
      <c r="HZ81" s="174">
        <v>139</v>
      </c>
      <c r="IA81" s="174">
        <v>218</v>
      </c>
      <c r="IB81" s="174">
        <v>198</v>
      </c>
      <c r="IC81" s="174">
        <v>139</v>
      </c>
      <c r="ID81" s="174">
        <v>109</v>
      </c>
      <c r="IE81" s="174">
        <v>89</v>
      </c>
      <c r="IF81" s="174">
        <v>81</v>
      </c>
      <c r="IM81" s="174">
        <v>3450000</v>
      </c>
      <c r="IN81" s="174">
        <v>79</v>
      </c>
    </row>
    <row r="82" spans="1:248" ht="13.35" customHeight="1" thickBot="1" x14ac:dyDescent="0.25">
      <c r="A82" s="183">
        <f t="shared" si="9"/>
        <v>81</v>
      </c>
      <c r="B82" s="184">
        <f t="shared" si="13"/>
        <v>3</v>
      </c>
      <c r="C82" s="183">
        <f t="shared" si="10"/>
        <v>81</v>
      </c>
      <c r="D82" s="174">
        <v>25</v>
      </c>
      <c r="E82" s="189" t="s">
        <v>593</v>
      </c>
      <c r="I82" s="174">
        <v>15</v>
      </c>
      <c r="V82" s="174">
        <v>10</v>
      </c>
      <c r="CV82" s="174">
        <v>5</v>
      </c>
      <c r="DH82" s="174">
        <v>12</v>
      </c>
      <c r="DI82" s="174" t="s">
        <v>1293</v>
      </c>
      <c r="DJ82" s="174">
        <v>-15</v>
      </c>
      <c r="DK82" s="174">
        <v>-110</v>
      </c>
      <c r="DL82" s="174">
        <v>30</v>
      </c>
      <c r="DM82" s="174">
        <v>15</v>
      </c>
      <c r="DN82" s="174">
        <v>2</v>
      </c>
      <c r="DQ82" s="174">
        <v>12</v>
      </c>
      <c r="DR82" s="174" t="s">
        <v>1293</v>
      </c>
      <c r="DS82" s="205">
        <v>-4</v>
      </c>
      <c r="DT82" s="174">
        <v>-85</v>
      </c>
      <c r="DU82" s="174">
        <v>17</v>
      </c>
      <c r="DV82" s="174">
        <v>4</v>
      </c>
      <c r="DW82" s="174">
        <v>2</v>
      </c>
      <c r="DY82" s="174">
        <v>99</v>
      </c>
      <c r="DZ82" s="174" t="s">
        <v>1283</v>
      </c>
      <c r="EC82" s="174">
        <v>50</v>
      </c>
      <c r="ED82" s="174" t="s">
        <v>4081</v>
      </c>
      <c r="EE82" s="203">
        <v>0.73980000000000024</v>
      </c>
      <c r="EF82" s="174">
        <v>-35</v>
      </c>
      <c r="EH82" s="174">
        <v>12.000999999999999</v>
      </c>
      <c r="EI82" s="174">
        <v>-96</v>
      </c>
      <c r="EK82" s="204">
        <f>(50+VLOOKUP(Stats!$B$3,Info_old!$EE$70:$EF$158,2)+Stats!$I$19*3)*0.3</f>
        <v>17.399999999999999</v>
      </c>
      <c r="EO82" s="174" t="s">
        <v>1294</v>
      </c>
      <c r="EP82" s="174" t="s">
        <v>1294</v>
      </c>
      <c r="EQ82" s="174" t="s">
        <v>536</v>
      </c>
      <c r="ER82" s="174" t="s">
        <v>527</v>
      </c>
      <c r="ES82" s="174" t="s">
        <v>527</v>
      </c>
      <c r="ET82" s="174" t="s">
        <v>437</v>
      </c>
      <c r="EU82" s="174" t="s">
        <v>527</v>
      </c>
      <c r="EV82" s="174" t="s">
        <v>682</v>
      </c>
      <c r="EW82" s="174" t="s">
        <v>1268</v>
      </c>
      <c r="EX82" s="174" t="s">
        <v>1268</v>
      </c>
      <c r="EY82" s="174" t="s">
        <v>527</v>
      </c>
      <c r="EZ82" s="174" t="s">
        <v>527</v>
      </c>
      <c r="FA82" s="174" t="s">
        <v>527</v>
      </c>
      <c r="FB82" s="174" t="s">
        <v>458</v>
      </c>
      <c r="FC82" s="174" t="s">
        <v>1295</v>
      </c>
      <c r="FD82" s="174" t="s">
        <v>618</v>
      </c>
      <c r="FE82" s="174" t="s">
        <v>173</v>
      </c>
      <c r="FF82" s="174" t="s">
        <v>548</v>
      </c>
      <c r="FG82" s="174" t="s">
        <v>506</v>
      </c>
      <c r="FH82" s="174" t="s">
        <v>458</v>
      </c>
      <c r="FI82" s="174" t="s">
        <v>681</v>
      </c>
      <c r="FJ82" s="174" t="s">
        <v>1127</v>
      </c>
      <c r="FK82" s="174" t="s">
        <v>1127</v>
      </c>
      <c r="FL82" s="174" t="s">
        <v>1137</v>
      </c>
      <c r="FM82" s="174" t="s">
        <v>1127</v>
      </c>
      <c r="FN82" s="174" t="s">
        <v>1124</v>
      </c>
      <c r="FO82" s="174" t="s">
        <v>681</v>
      </c>
      <c r="FP82" s="174" t="s">
        <v>1127</v>
      </c>
      <c r="FQ82" s="174" t="s">
        <v>1296</v>
      </c>
      <c r="FR82" s="174" t="s">
        <v>1296</v>
      </c>
      <c r="FS82" s="174" t="s">
        <v>666</v>
      </c>
      <c r="FT82" s="174" t="s">
        <v>666</v>
      </c>
      <c r="FU82" s="174" t="s">
        <v>666</v>
      </c>
      <c r="FV82" s="174" t="s">
        <v>487</v>
      </c>
      <c r="FW82" s="174" t="s">
        <v>1281</v>
      </c>
      <c r="FX82" s="174" t="s">
        <v>1281</v>
      </c>
      <c r="FY82" s="174" t="s">
        <v>1281</v>
      </c>
      <c r="FZ82" s="174" t="s">
        <v>1297</v>
      </c>
      <c r="GA82" s="174" t="s">
        <v>1298</v>
      </c>
      <c r="GB82" s="174" t="s">
        <v>1289</v>
      </c>
      <c r="GC82" s="174" t="s">
        <v>1298</v>
      </c>
      <c r="GD82" s="174" t="s">
        <v>1289</v>
      </c>
      <c r="GE82" s="174" t="s">
        <v>1289</v>
      </c>
      <c r="GF82" s="174" t="s">
        <v>1289</v>
      </c>
      <c r="GG82" s="174" t="s">
        <v>1298</v>
      </c>
      <c r="GH82" s="174" t="s">
        <v>1289</v>
      </c>
      <c r="GL82" s="174" t="s">
        <v>1124</v>
      </c>
      <c r="GM82" s="174" t="s">
        <v>561</v>
      </c>
      <c r="GN82" s="174" t="s">
        <v>681</v>
      </c>
      <c r="GQ82" s="174" t="s">
        <v>609</v>
      </c>
      <c r="GR82" s="174" t="s">
        <v>458</v>
      </c>
      <c r="HA82" s="174">
        <v>13</v>
      </c>
      <c r="HB82" s="197">
        <v>79</v>
      </c>
      <c r="HC82" s="194">
        <v>60</v>
      </c>
      <c r="HD82" s="238">
        <v>85</v>
      </c>
      <c r="HE82" s="236">
        <v>25</v>
      </c>
      <c r="HF82" s="183">
        <v>144</v>
      </c>
      <c r="HG82" s="193" t="e">
        <f t="shared" si="11"/>
        <v>#N/A</v>
      </c>
      <c r="HH82" s="192" t="e">
        <f t="shared" si="12"/>
        <v>#N/A</v>
      </c>
      <c r="HI82" s="198">
        <v>25</v>
      </c>
      <c r="HJ82" s="185">
        <v>129.5</v>
      </c>
      <c r="HK82" s="182">
        <v>80</v>
      </c>
      <c r="HL82" s="182">
        <v>370</v>
      </c>
      <c r="HM82" s="182">
        <v>380</v>
      </c>
      <c r="HN82" s="182">
        <v>310</v>
      </c>
      <c r="HO82" s="182">
        <v>200</v>
      </c>
      <c r="HP82" s="182">
        <v>190</v>
      </c>
      <c r="HQ82" s="182">
        <v>180</v>
      </c>
      <c r="HR82" s="182">
        <v>170</v>
      </c>
      <c r="HS82" s="174">
        <v>310</v>
      </c>
      <c r="HT82" s="174">
        <v>300</v>
      </c>
      <c r="HU82" s="182">
        <v>180</v>
      </c>
      <c r="HV82" s="182">
        <v>230</v>
      </c>
      <c r="HW82" s="182">
        <v>170</v>
      </c>
      <c r="HX82" s="182">
        <v>160</v>
      </c>
      <c r="HY82" s="182">
        <v>150</v>
      </c>
      <c r="HZ82" s="182">
        <v>140</v>
      </c>
      <c r="IA82" s="174">
        <v>220</v>
      </c>
      <c r="IB82" s="182">
        <v>200</v>
      </c>
      <c r="IC82" s="182">
        <v>140</v>
      </c>
      <c r="ID82" s="182">
        <v>110</v>
      </c>
      <c r="IE82" s="182">
        <v>90</v>
      </c>
      <c r="IF82" s="182">
        <v>82</v>
      </c>
      <c r="IM82" s="174">
        <v>3500000</v>
      </c>
      <c r="IN82" s="174">
        <v>80</v>
      </c>
    </row>
    <row r="83" spans="1:248" ht="13.35" customHeight="1" thickBot="1" x14ac:dyDescent="0.25">
      <c r="A83" s="183">
        <f t="shared" si="9"/>
        <v>82</v>
      </c>
      <c r="B83" s="184">
        <f t="shared" si="13"/>
        <v>3</v>
      </c>
      <c r="C83" s="183">
        <f t="shared" si="10"/>
        <v>82</v>
      </c>
      <c r="D83" s="174">
        <v>26</v>
      </c>
      <c r="E83" s="189" t="s">
        <v>600</v>
      </c>
      <c r="J83" s="174">
        <v>5</v>
      </c>
      <c r="M83" s="174">
        <v>5</v>
      </c>
      <c r="N83" s="174">
        <v>20</v>
      </c>
      <c r="T83" s="174">
        <v>20</v>
      </c>
      <c r="AS83" s="174">
        <v>5</v>
      </c>
      <c r="AU83" s="174">
        <v>15</v>
      </c>
      <c r="BH83" s="174">
        <v>5</v>
      </c>
      <c r="BM83" s="174">
        <v>10</v>
      </c>
      <c r="BZ83" s="174">
        <v>15</v>
      </c>
      <c r="CG83" s="174">
        <v>15</v>
      </c>
      <c r="CN83" s="174">
        <v>5</v>
      </c>
      <c r="CS83" s="174">
        <v>10</v>
      </c>
      <c r="CT83" s="174">
        <v>10</v>
      </c>
      <c r="CX83" s="174">
        <v>10</v>
      </c>
      <c r="CZ83" s="174">
        <v>20</v>
      </c>
      <c r="DA83" s="174">
        <v>10</v>
      </c>
      <c r="DH83" s="174">
        <v>13</v>
      </c>
      <c r="DI83" s="174" t="s">
        <v>1299</v>
      </c>
      <c r="DJ83" s="174">
        <v>-10</v>
      </c>
      <c r="DK83" s="174">
        <v>-70</v>
      </c>
      <c r="DL83" s="174">
        <v>0</v>
      </c>
      <c r="DM83" s="174">
        <v>5</v>
      </c>
      <c r="DN83" s="174">
        <v>3</v>
      </c>
      <c r="DQ83" s="174">
        <v>13</v>
      </c>
      <c r="DR83" s="174" t="s">
        <v>1299</v>
      </c>
      <c r="DS83" s="205">
        <v>0</v>
      </c>
      <c r="DT83" s="174">
        <v>-51</v>
      </c>
      <c r="DU83" s="174">
        <v>0</v>
      </c>
      <c r="DV83" s="174">
        <v>0</v>
      </c>
      <c r="DW83" s="174">
        <v>3</v>
      </c>
      <c r="DY83" s="174">
        <v>100</v>
      </c>
      <c r="DZ83" s="174" t="s">
        <v>1287</v>
      </c>
      <c r="EC83" s="174">
        <v>100</v>
      </c>
      <c r="ED83" s="174" t="s">
        <v>4080</v>
      </c>
      <c r="EE83" s="203">
        <v>0.76520000000000021</v>
      </c>
      <c r="EF83" s="174">
        <v>-35</v>
      </c>
      <c r="EH83" s="174">
        <v>13.000999999999999</v>
      </c>
      <c r="EI83" s="174">
        <v>-104</v>
      </c>
      <c r="EO83" s="174" t="s">
        <v>609</v>
      </c>
      <c r="EP83" s="174" t="s">
        <v>609</v>
      </c>
      <c r="EQ83" s="174" t="s">
        <v>449</v>
      </c>
      <c r="ER83" s="174" t="s">
        <v>415</v>
      </c>
      <c r="ES83" s="174" t="s">
        <v>415</v>
      </c>
      <c r="ET83" s="174" t="s">
        <v>173</v>
      </c>
      <c r="EU83" s="174" t="s">
        <v>415</v>
      </c>
      <c r="EV83" s="174" t="s">
        <v>675</v>
      </c>
      <c r="EW83" s="174" t="s">
        <v>681</v>
      </c>
      <c r="EX83" s="174" t="s">
        <v>681</v>
      </c>
      <c r="EY83" s="174" t="s">
        <v>415</v>
      </c>
      <c r="EZ83" s="174" t="s">
        <v>415</v>
      </c>
      <c r="FA83" s="174" t="s">
        <v>415</v>
      </c>
      <c r="FB83" s="174" t="s">
        <v>459</v>
      </c>
      <c r="FC83" s="174" t="s">
        <v>1300</v>
      </c>
      <c r="FD83" s="174" t="s">
        <v>1217</v>
      </c>
      <c r="FE83" s="174" t="s">
        <v>551</v>
      </c>
      <c r="FF83" s="174" t="s">
        <v>681</v>
      </c>
      <c r="FG83" s="174" t="s">
        <v>548</v>
      </c>
      <c r="FH83" s="174" t="s">
        <v>1285</v>
      </c>
      <c r="FI83" s="174" t="s">
        <v>682</v>
      </c>
      <c r="FJ83" s="174" t="s">
        <v>675</v>
      </c>
      <c r="FK83" s="174" t="s">
        <v>675</v>
      </c>
      <c r="FL83" s="174" t="s">
        <v>1127</v>
      </c>
      <c r="FM83" s="174" t="s">
        <v>675</v>
      </c>
      <c r="FN83" s="174" t="s">
        <v>1137</v>
      </c>
      <c r="FO83" s="174" t="s">
        <v>530</v>
      </c>
      <c r="FP83" s="174" t="s">
        <v>675</v>
      </c>
      <c r="FQ83" s="174" t="s">
        <v>487</v>
      </c>
      <c r="FR83" s="174" t="s">
        <v>487</v>
      </c>
      <c r="FS83" s="174" t="s">
        <v>530</v>
      </c>
      <c r="FT83" s="174" t="s">
        <v>530</v>
      </c>
      <c r="FU83" s="174" t="s">
        <v>530</v>
      </c>
      <c r="FV83" s="174" t="s">
        <v>506</v>
      </c>
      <c r="FW83" s="174" t="s">
        <v>1301</v>
      </c>
      <c r="FX83" s="174" t="s">
        <v>1301</v>
      </c>
      <c r="FY83" s="174" t="s">
        <v>524</v>
      </c>
      <c r="FZ83" s="174" t="s">
        <v>1302</v>
      </c>
      <c r="GA83" s="174" t="s">
        <v>459</v>
      </c>
      <c r="GB83" s="174" t="s">
        <v>1298</v>
      </c>
      <c r="GC83" s="174" t="s">
        <v>459</v>
      </c>
      <c r="GD83" s="174" t="s">
        <v>1298</v>
      </c>
      <c r="GE83" s="174" t="s">
        <v>1298</v>
      </c>
      <c r="GF83" s="174" t="s">
        <v>1298</v>
      </c>
      <c r="GG83" s="174" t="s">
        <v>459</v>
      </c>
      <c r="GH83" s="174" t="s">
        <v>1298</v>
      </c>
      <c r="GL83" s="174" t="s">
        <v>675</v>
      </c>
      <c r="GM83" s="174" t="s">
        <v>1124</v>
      </c>
      <c r="GN83" s="174" t="s">
        <v>682</v>
      </c>
      <c r="GQ83" s="174" t="s">
        <v>458</v>
      </c>
      <c r="GR83" s="174" t="s">
        <v>4075</v>
      </c>
      <c r="HA83" s="174">
        <v>14</v>
      </c>
      <c r="HB83" s="197">
        <v>80</v>
      </c>
      <c r="HC83" s="194">
        <v>60</v>
      </c>
      <c r="HD83" s="238">
        <v>85</v>
      </c>
      <c r="HE83" s="236">
        <v>25</v>
      </c>
      <c r="HF83" s="183">
        <v>145</v>
      </c>
      <c r="HG83" s="193" t="e">
        <f t="shared" si="11"/>
        <v>#N/A</v>
      </c>
      <c r="HH83" s="192" t="e">
        <f t="shared" si="12"/>
        <v>#N/A</v>
      </c>
      <c r="HI83" s="198">
        <v>25</v>
      </c>
      <c r="HJ83" s="185">
        <v>130</v>
      </c>
      <c r="HK83" s="174">
        <v>81</v>
      </c>
      <c r="HL83" s="174">
        <v>373</v>
      </c>
      <c r="HM83" s="174">
        <v>384</v>
      </c>
      <c r="HN83" s="174">
        <v>313</v>
      </c>
      <c r="HO83" s="174">
        <v>201</v>
      </c>
      <c r="HP83" s="174">
        <v>191</v>
      </c>
      <c r="HQ83" s="174">
        <v>181</v>
      </c>
      <c r="HR83" s="174">
        <v>171</v>
      </c>
      <c r="HS83" s="174">
        <v>313</v>
      </c>
      <c r="HT83" s="174">
        <v>303</v>
      </c>
      <c r="HU83" s="174">
        <v>181</v>
      </c>
      <c r="HV83" s="174">
        <v>232</v>
      </c>
      <c r="HW83" s="174">
        <v>171</v>
      </c>
      <c r="HX83" s="174">
        <v>161</v>
      </c>
      <c r="HY83" s="174">
        <v>151</v>
      </c>
      <c r="HZ83" s="174">
        <v>141</v>
      </c>
      <c r="IA83" s="174">
        <v>222</v>
      </c>
      <c r="IB83" s="174">
        <v>202</v>
      </c>
      <c r="IC83" s="174">
        <v>141</v>
      </c>
      <c r="ID83" s="174">
        <v>111</v>
      </c>
      <c r="IE83" s="174">
        <v>91</v>
      </c>
      <c r="IF83" s="174">
        <v>83</v>
      </c>
      <c r="IM83" s="174">
        <v>3550000</v>
      </c>
      <c r="IN83" s="174">
        <v>81</v>
      </c>
    </row>
    <row r="84" spans="1:248" ht="13.35" customHeight="1" thickBot="1" x14ac:dyDescent="0.25">
      <c r="A84" s="183">
        <f t="shared" si="9"/>
        <v>83</v>
      </c>
      <c r="B84" s="184">
        <f t="shared" si="13"/>
        <v>3</v>
      </c>
      <c r="C84" s="183">
        <f t="shared" si="10"/>
        <v>83</v>
      </c>
      <c r="D84" s="174">
        <v>27</v>
      </c>
      <c r="E84" s="189" t="s">
        <v>607</v>
      </c>
      <c r="J84" s="174">
        <v>5</v>
      </c>
      <c r="M84" s="174">
        <v>5</v>
      </c>
      <c r="N84" s="174">
        <v>20</v>
      </c>
      <c r="T84" s="174">
        <v>20</v>
      </c>
      <c r="AM84" s="174">
        <v>5</v>
      </c>
      <c r="AS84" s="174">
        <v>15</v>
      </c>
      <c r="AU84" s="174">
        <v>10</v>
      </c>
      <c r="BA84" s="174">
        <v>5</v>
      </c>
      <c r="BX84" s="174">
        <v>5</v>
      </c>
      <c r="BZ84" s="174">
        <v>15</v>
      </c>
      <c r="CA84" s="174">
        <v>15</v>
      </c>
      <c r="CG84" s="174">
        <v>15</v>
      </c>
      <c r="CH84" s="174">
        <v>15</v>
      </c>
      <c r="CK84" s="174">
        <v>5</v>
      </c>
      <c r="CN84" s="174">
        <v>10</v>
      </c>
      <c r="CP84" s="174">
        <v>10</v>
      </c>
      <c r="CS84" s="174">
        <v>10</v>
      </c>
      <c r="CT84" s="174">
        <v>10</v>
      </c>
      <c r="CX84" s="174">
        <v>10</v>
      </c>
      <c r="CZ84" s="174">
        <v>20</v>
      </c>
      <c r="DA84" s="174">
        <v>10</v>
      </c>
      <c r="DH84" s="174">
        <v>14</v>
      </c>
      <c r="DI84" s="174" t="s">
        <v>1303</v>
      </c>
      <c r="DJ84" s="174">
        <v>-15</v>
      </c>
      <c r="DK84" s="174">
        <v>-90</v>
      </c>
      <c r="DL84" s="174">
        <v>10</v>
      </c>
      <c r="DM84" s="174">
        <v>10</v>
      </c>
      <c r="DN84" s="174">
        <v>3</v>
      </c>
      <c r="DQ84" s="174">
        <v>14</v>
      </c>
      <c r="DR84" s="174" t="s">
        <v>1303</v>
      </c>
      <c r="DS84" s="205">
        <v>-4</v>
      </c>
      <c r="DT84" s="174">
        <v>-68</v>
      </c>
      <c r="DU84" s="174">
        <v>0</v>
      </c>
      <c r="DV84" s="174">
        <v>0</v>
      </c>
      <c r="DW84" s="174">
        <v>3</v>
      </c>
      <c r="EE84" s="203">
        <v>0.7906000000000003</v>
      </c>
      <c r="EF84" s="174">
        <v>-35</v>
      </c>
      <c r="EH84" s="174">
        <v>14.000999999999999</v>
      </c>
      <c r="EI84" s="174">
        <v>-112</v>
      </c>
      <c r="EO84" s="174" t="s">
        <v>458</v>
      </c>
      <c r="EP84" s="174" t="s">
        <v>458</v>
      </c>
      <c r="EQ84" s="174" t="s">
        <v>677</v>
      </c>
      <c r="ER84" s="174" t="s">
        <v>548</v>
      </c>
      <c r="ES84" s="174" t="s">
        <v>548</v>
      </c>
      <c r="ET84" s="174" t="s">
        <v>551</v>
      </c>
      <c r="EU84" s="174" t="s">
        <v>548</v>
      </c>
      <c r="EV84" s="174" t="s">
        <v>1300</v>
      </c>
      <c r="EW84" s="174" t="s">
        <v>675</v>
      </c>
      <c r="EX84" s="174" t="s">
        <v>675</v>
      </c>
      <c r="EY84" s="174" t="s">
        <v>548</v>
      </c>
      <c r="EZ84" s="174" t="s">
        <v>548</v>
      </c>
      <c r="FA84" s="174" t="s">
        <v>548</v>
      </c>
      <c r="FB84" s="174" t="s">
        <v>666</v>
      </c>
      <c r="FC84" s="174" t="s">
        <v>1135</v>
      </c>
      <c r="FD84" s="174" t="s">
        <v>458</v>
      </c>
      <c r="FE84" s="174" t="s">
        <v>650</v>
      </c>
      <c r="FF84" s="174" t="s">
        <v>530</v>
      </c>
      <c r="FG84" s="174" t="s">
        <v>1297</v>
      </c>
      <c r="FH84" s="174" t="s">
        <v>1291</v>
      </c>
      <c r="FI84" s="174" t="s">
        <v>675</v>
      </c>
      <c r="FJ84" s="174" t="s">
        <v>531</v>
      </c>
      <c r="FK84" s="174" t="s">
        <v>531</v>
      </c>
      <c r="FL84" s="174" t="s">
        <v>675</v>
      </c>
      <c r="FM84" s="174" t="s">
        <v>531</v>
      </c>
      <c r="FN84" s="174" t="s">
        <v>1127</v>
      </c>
      <c r="FO84" s="174" t="s">
        <v>561</v>
      </c>
      <c r="FP84" s="174" t="s">
        <v>531</v>
      </c>
      <c r="FQ84" s="174" t="s">
        <v>506</v>
      </c>
      <c r="FR84" s="174" t="s">
        <v>506</v>
      </c>
      <c r="FS84" s="174" t="s">
        <v>561</v>
      </c>
      <c r="FT84" s="174" t="s">
        <v>561</v>
      </c>
      <c r="FU84" s="174" t="s">
        <v>561</v>
      </c>
      <c r="FV84" s="174" t="s">
        <v>1304</v>
      </c>
      <c r="FW84" s="174" t="s">
        <v>560</v>
      </c>
      <c r="FX84" s="174" t="s">
        <v>560</v>
      </c>
      <c r="FY84" s="174" t="s">
        <v>1305</v>
      </c>
      <c r="FZ84" s="174" t="s">
        <v>560</v>
      </c>
      <c r="GA84" s="174" t="s">
        <v>4273</v>
      </c>
      <c r="GB84" s="174" t="s">
        <v>459</v>
      </c>
      <c r="GC84" s="174" t="s">
        <v>4273</v>
      </c>
      <c r="GD84" s="174" t="s">
        <v>459</v>
      </c>
      <c r="GE84" s="174" t="s">
        <v>459</v>
      </c>
      <c r="GF84" s="174" t="s">
        <v>459</v>
      </c>
      <c r="GG84" s="174" t="s">
        <v>4273</v>
      </c>
      <c r="GH84" s="174" t="s">
        <v>459</v>
      </c>
      <c r="GL84" s="174" t="s">
        <v>1128</v>
      </c>
      <c r="GM84" s="174" t="s">
        <v>675</v>
      </c>
      <c r="GN84" s="174" t="s">
        <v>675</v>
      </c>
      <c r="GQ84" s="174" t="s">
        <v>4075</v>
      </c>
      <c r="GR84" s="174" t="s">
        <v>681</v>
      </c>
      <c r="HA84" s="174">
        <v>15</v>
      </c>
      <c r="HB84" s="197">
        <v>81</v>
      </c>
      <c r="HC84" s="194">
        <v>61</v>
      </c>
      <c r="HD84" s="238">
        <v>86</v>
      </c>
      <c r="HE84" s="236">
        <v>25</v>
      </c>
      <c r="HF84" s="183">
        <v>146</v>
      </c>
      <c r="HG84" s="193" t="e">
        <f t="shared" si="11"/>
        <v>#N/A</v>
      </c>
      <c r="HH84" s="192" t="e">
        <f t="shared" si="12"/>
        <v>#N/A</v>
      </c>
      <c r="HI84" s="198">
        <v>25</v>
      </c>
      <c r="HJ84" s="185">
        <v>130.5</v>
      </c>
      <c r="HK84" s="174">
        <v>82</v>
      </c>
      <c r="HL84" s="174">
        <v>376</v>
      </c>
      <c r="HM84" s="174">
        <v>388</v>
      </c>
      <c r="HN84" s="174">
        <v>316</v>
      </c>
      <c r="HO84" s="174">
        <v>202</v>
      </c>
      <c r="HP84" s="174">
        <v>192</v>
      </c>
      <c r="HQ84" s="174">
        <v>182</v>
      </c>
      <c r="HR84" s="174">
        <v>172</v>
      </c>
      <c r="HS84" s="174">
        <v>316</v>
      </c>
      <c r="HT84" s="174">
        <v>306</v>
      </c>
      <c r="HU84" s="174">
        <v>182</v>
      </c>
      <c r="HV84" s="174">
        <v>234</v>
      </c>
      <c r="HW84" s="174">
        <v>172</v>
      </c>
      <c r="HX84" s="174">
        <v>162</v>
      </c>
      <c r="HY84" s="174">
        <v>152</v>
      </c>
      <c r="HZ84" s="174">
        <v>142</v>
      </c>
      <c r="IA84" s="174">
        <v>224</v>
      </c>
      <c r="IB84" s="174">
        <v>204</v>
      </c>
      <c r="IC84" s="174">
        <v>142</v>
      </c>
      <c r="ID84" s="174">
        <v>112</v>
      </c>
      <c r="IE84" s="174">
        <v>92</v>
      </c>
      <c r="IF84" s="174">
        <v>84</v>
      </c>
      <c r="IM84" s="174">
        <v>3600000</v>
      </c>
      <c r="IN84" s="174">
        <v>82</v>
      </c>
    </row>
    <row r="85" spans="1:248" ht="13.35" customHeight="1" thickBot="1" x14ac:dyDescent="0.25">
      <c r="A85" s="183">
        <f t="shared" si="9"/>
        <v>84</v>
      </c>
      <c r="B85" s="184">
        <f t="shared" si="13"/>
        <v>3</v>
      </c>
      <c r="C85" s="183">
        <f t="shared" si="10"/>
        <v>84</v>
      </c>
      <c r="D85" s="174">
        <v>28</v>
      </c>
      <c r="E85" s="189" t="s">
        <v>617</v>
      </c>
      <c r="J85" s="174">
        <v>5</v>
      </c>
      <c r="K85" s="174">
        <v>10</v>
      </c>
      <c r="L85" s="174">
        <v>10</v>
      </c>
      <c r="M85" s="174">
        <v>10</v>
      </c>
      <c r="N85" s="174">
        <v>5</v>
      </c>
      <c r="O85" s="174">
        <v>5</v>
      </c>
      <c r="P85" s="174">
        <v>5</v>
      </c>
      <c r="Q85" s="174">
        <v>5</v>
      </c>
      <c r="R85" s="174">
        <v>10</v>
      </c>
      <c r="S85" s="174">
        <v>10</v>
      </c>
      <c r="V85" s="174">
        <v>5</v>
      </c>
      <c r="W85" s="174">
        <v>5</v>
      </c>
      <c r="X85" s="174">
        <v>5</v>
      </c>
      <c r="Y85" s="174">
        <v>5</v>
      </c>
      <c r="AA85" s="174">
        <v>15</v>
      </c>
      <c r="AB85" s="174">
        <v>10</v>
      </c>
      <c r="AC85" s="174">
        <v>10</v>
      </c>
      <c r="AD85" s="174">
        <v>5</v>
      </c>
      <c r="AF85" s="174">
        <v>10</v>
      </c>
      <c r="AG85" s="174">
        <v>10</v>
      </c>
      <c r="AH85" s="174">
        <v>5</v>
      </c>
      <c r="AK85" s="174">
        <v>5</v>
      </c>
      <c r="AL85" s="174">
        <v>5</v>
      </c>
      <c r="AM85" s="174">
        <v>5</v>
      </c>
      <c r="AO85" s="174">
        <v>10</v>
      </c>
      <c r="AP85" s="174">
        <v>10</v>
      </c>
      <c r="AT85" s="174">
        <v>5</v>
      </c>
      <c r="BC85" s="174">
        <v>5</v>
      </c>
      <c r="BD85" s="174">
        <v>5</v>
      </c>
      <c r="BE85" s="174">
        <v>5</v>
      </c>
      <c r="BF85" s="174">
        <v>5</v>
      </c>
      <c r="BG85" s="174">
        <v>10</v>
      </c>
      <c r="BJ85" s="174">
        <v>5</v>
      </c>
      <c r="BK85" s="174">
        <v>5</v>
      </c>
      <c r="BS85" s="174">
        <v>5</v>
      </c>
      <c r="BT85" s="174">
        <v>5</v>
      </c>
      <c r="CB85" s="174">
        <v>15</v>
      </c>
      <c r="CE85" s="174">
        <v>5</v>
      </c>
      <c r="CG85" s="174">
        <v>5</v>
      </c>
      <c r="CJ85" s="174">
        <v>5</v>
      </c>
      <c r="CL85" s="174">
        <v>5</v>
      </c>
      <c r="CX85" s="174">
        <v>5</v>
      </c>
      <c r="CY85" s="174">
        <v>10</v>
      </c>
      <c r="DB85" s="174">
        <v>5</v>
      </c>
      <c r="DC85" s="174">
        <v>5</v>
      </c>
      <c r="DD85" s="174">
        <v>5</v>
      </c>
      <c r="DH85" s="174">
        <v>15</v>
      </c>
      <c r="DI85" s="174" t="s">
        <v>1306</v>
      </c>
      <c r="DJ85" s="174">
        <v>-25</v>
      </c>
      <c r="DK85" s="174">
        <v>-120</v>
      </c>
      <c r="DL85" s="174">
        <v>20</v>
      </c>
      <c r="DM85" s="174">
        <v>20</v>
      </c>
      <c r="DN85" s="174">
        <v>3</v>
      </c>
      <c r="DQ85" s="174">
        <v>15</v>
      </c>
      <c r="DR85" s="174" t="s">
        <v>1306</v>
      </c>
      <c r="DS85" s="205">
        <v>-13</v>
      </c>
      <c r="DT85" s="174">
        <v>-93</v>
      </c>
      <c r="DU85" s="174">
        <v>8</v>
      </c>
      <c r="DV85" s="174">
        <v>8</v>
      </c>
      <c r="DW85" s="174">
        <v>3</v>
      </c>
      <c r="EE85" s="203">
        <v>0.8160000000000005</v>
      </c>
      <c r="EF85" s="174">
        <v>-35</v>
      </c>
      <c r="EH85" s="174">
        <v>15.000999999999999</v>
      </c>
      <c r="EI85" s="174">
        <v>-120</v>
      </c>
      <c r="EO85" s="174" t="s">
        <v>543</v>
      </c>
      <c r="EP85" s="174" t="s">
        <v>543</v>
      </c>
      <c r="EQ85" s="174" t="s">
        <v>1307</v>
      </c>
      <c r="ER85" s="174" t="s">
        <v>666</v>
      </c>
      <c r="ES85" s="174" t="s">
        <v>666</v>
      </c>
      <c r="ET85" s="174" t="s">
        <v>650</v>
      </c>
      <c r="EU85" s="174" t="s">
        <v>666</v>
      </c>
      <c r="EV85" s="174" t="s">
        <v>437</v>
      </c>
      <c r="EW85" s="174" t="s">
        <v>1290</v>
      </c>
      <c r="EX85" s="174" t="s">
        <v>1290</v>
      </c>
      <c r="EY85" s="174" t="s">
        <v>666</v>
      </c>
      <c r="EZ85" s="174" t="s">
        <v>666</v>
      </c>
      <c r="FA85" s="174" t="s">
        <v>666</v>
      </c>
      <c r="FB85" s="174" t="s">
        <v>681</v>
      </c>
      <c r="FC85" s="174" t="s">
        <v>173</v>
      </c>
      <c r="FD85" s="174" t="s">
        <v>527</v>
      </c>
      <c r="FE85" s="174" t="s">
        <v>1308</v>
      </c>
      <c r="FF85" s="174" t="s">
        <v>1124</v>
      </c>
      <c r="FG85" s="174" t="s">
        <v>1309</v>
      </c>
      <c r="FH85" s="174" t="s">
        <v>560</v>
      </c>
      <c r="FI85" s="174" t="s">
        <v>465</v>
      </c>
      <c r="FJ85" s="174" t="s">
        <v>1128</v>
      </c>
      <c r="FK85" s="174" t="s">
        <v>1128</v>
      </c>
      <c r="FL85" s="174" t="s">
        <v>531</v>
      </c>
      <c r="FM85" s="174" t="s">
        <v>1128</v>
      </c>
      <c r="FN85" s="174" t="s">
        <v>675</v>
      </c>
      <c r="FO85" s="174" t="s">
        <v>1124</v>
      </c>
      <c r="FP85" s="174" t="s">
        <v>1128</v>
      </c>
      <c r="FQ85" s="174" t="s">
        <v>1310</v>
      </c>
      <c r="FR85" s="174" t="s">
        <v>1310</v>
      </c>
      <c r="FS85" s="174" t="s">
        <v>675</v>
      </c>
      <c r="FT85" s="174" t="s">
        <v>675</v>
      </c>
      <c r="FU85" s="174" t="s">
        <v>675</v>
      </c>
      <c r="FV85" s="174" t="s">
        <v>1177</v>
      </c>
      <c r="FW85" s="174" t="s">
        <v>1311</v>
      </c>
      <c r="FX85" s="174" t="s">
        <v>1312</v>
      </c>
      <c r="FY85" s="174" t="s">
        <v>1313</v>
      </c>
      <c r="FZ85" s="174" t="s">
        <v>530</v>
      </c>
      <c r="GA85" s="174" t="s">
        <v>543</v>
      </c>
      <c r="GB85" s="174" t="s">
        <v>4273</v>
      </c>
      <c r="GC85" s="174" t="s">
        <v>543</v>
      </c>
      <c r="GD85" s="174" t="s">
        <v>4273</v>
      </c>
      <c r="GE85" s="174" t="s">
        <v>4273</v>
      </c>
      <c r="GF85" s="174" t="s">
        <v>4273</v>
      </c>
      <c r="GG85" s="174" t="s">
        <v>543</v>
      </c>
      <c r="GH85" s="174" t="s">
        <v>4273</v>
      </c>
      <c r="GL85" s="174" t="s">
        <v>487</v>
      </c>
      <c r="GM85" s="174" t="s">
        <v>1314</v>
      </c>
      <c r="GN85" s="174" t="s">
        <v>465</v>
      </c>
      <c r="GQ85" s="174" t="s">
        <v>543</v>
      </c>
      <c r="GR85" s="174" t="s">
        <v>675</v>
      </c>
      <c r="HA85" s="174">
        <v>16</v>
      </c>
      <c r="HB85" s="197">
        <v>82</v>
      </c>
      <c r="HC85" s="194">
        <v>61</v>
      </c>
      <c r="HD85" s="238">
        <v>86</v>
      </c>
      <c r="HE85" s="236">
        <v>25</v>
      </c>
      <c r="HF85" s="183">
        <v>147</v>
      </c>
      <c r="HG85" s="193" t="e">
        <f t="shared" si="11"/>
        <v>#N/A</v>
      </c>
      <c r="HH85" s="192" t="e">
        <f t="shared" si="12"/>
        <v>#N/A</v>
      </c>
      <c r="HI85" s="198">
        <v>25</v>
      </c>
      <c r="HJ85" s="185">
        <v>131</v>
      </c>
      <c r="HK85" s="174">
        <v>83</v>
      </c>
      <c r="HL85" s="174">
        <v>379</v>
      </c>
      <c r="HM85" s="174">
        <v>392</v>
      </c>
      <c r="HN85" s="174">
        <v>319</v>
      </c>
      <c r="HO85" s="174">
        <v>203</v>
      </c>
      <c r="HP85" s="174">
        <v>193</v>
      </c>
      <c r="HQ85" s="174">
        <v>183</v>
      </c>
      <c r="HR85" s="174">
        <v>173</v>
      </c>
      <c r="HS85" s="174">
        <v>319</v>
      </c>
      <c r="HT85" s="174">
        <v>309</v>
      </c>
      <c r="HU85" s="174">
        <v>183</v>
      </c>
      <c r="HV85" s="174">
        <v>236</v>
      </c>
      <c r="HW85" s="174">
        <v>173</v>
      </c>
      <c r="HX85" s="174">
        <v>163</v>
      </c>
      <c r="HY85" s="174">
        <v>153</v>
      </c>
      <c r="HZ85" s="174">
        <v>143</v>
      </c>
      <c r="IA85" s="174">
        <v>226</v>
      </c>
      <c r="IB85" s="174">
        <v>206</v>
      </c>
      <c r="IC85" s="174">
        <v>143</v>
      </c>
      <c r="ID85" s="174">
        <v>113</v>
      </c>
      <c r="IE85" s="174">
        <v>93</v>
      </c>
      <c r="IF85" s="174">
        <v>85</v>
      </c>
      <c r="IM85" s="174">
        <v>3650000</v>
      </c>
      <c r="IN85" s="174">
        <v>83</v>
      </c>
    </row>
    <row r="86" spans="1:248" ht="13.35" customHeight="1" thickBot="1" x14ac:dyDescent="0.25">
      <c r="A86" s="183">
        <f t="shared" si="9"/>
        <v>85</v>
      </c>
      <c r="B86" s="184">
        <f t="shared" si="13"/>
        <v>4</v>
      </c>
      <c r="C86" s="183">
        <f t="shared" si="10"/>
        <v>85</v>
      </c>
      <c r="D86" s="174">
        <v>29</v>
      </c>
      <c r="E86" s="189" t="s">
        <v>622</v>
      </c>
      <c r="J86" s="174">
        <v>5</v>
      </c>
      <c r="K86" s="174">
        <v>10</v>
      </c>
      <c r="L86" s="174">
        <v>10</v>
      </c>
      <c r="M86" s="174">
        <v>5</v>
      </c>
      <c r="N86" s="174">
        <v>5</v>
      </c>
      <c r="O86" s="174">
        <v>5</v>
      </c>
      <c r="P86" s="174">
        <v>5</v>
      </c>
      <c r="Q86" s="174">
        <v>5</v>
      </c>
      <c r="R86" s="174">
        <v>5</v>
      </c>
      <c r="S86" s="174">
        <v>15</v>
      </c>
      <c r="U86" s="174">
        <v>5</v>
      </c>
      <c r="W86" s="174">
        <v>5</v>
      </c>
      <c r="AA86" s="174">
        <v>10</v>
      </c>
      <c r="AB86" s="174">
        <v>15</v>
      </c>
      <c r="AC86" s="174">
        <v>10</v>
      </c>
      <c r="AF86" s="174">
        <v>10</v>
      </c>
      <c r="AG86" s="174">
        <v>15</v>
      </c>
      <c r="AH86" s="174">
        <v>5</v>
      </c>
      <c r="AK86" s="174">
        <v>5</v>
      </c>
      <c r="AL86" s="174">
        <v>5</v>
      </c>
      <c r="AM86" s="174">
        <v>5</v>
      </c>
      <c r="AO86" s="174">
        <v>10</v>
      </c>
      <c r="AP86" s="174">
        <v>10</v>
      </c>
      <c r="BC86" s="174">
        <v>5</v>
      </c>
      <c r="BD86" s="174">
        <v>5</v>
      </c>
      <c r="BE86" s="174">
        <v>5</v>
      </c>
      <c r="BI86" s="174">
        <v>5</v>
      </c>
      <c r="BJ86" s="174">
        <v>5</v>
      </c>
      <c r="BK86" s="174">
        <v>5</v>
      </c>
      <c r="BS86" s="174">
        <v>5</v>
      </c>
      <c r="BT86" s="174">
        <v>5</v>
      </c>
      <c r="CB86" s="174">
        <v>5</v>
      </c>
      <c r="CE86" s="174">
        <v>5</v>
      </c>
      <c r="CX86" s="174">
        <v>5</v>
      </c>
      <c r="CY86" s="174">
        <v>5</v>
      </c>
      <c r="CZ86" s="174">
        <v>5</v>
      </c>
      <c r="DH86" s="174">
        <v>16</v>
      </c>
      <c r="DI86" s="174" t="s">
        <v>1315</v>
      </c>
      <c r="DJ86" s="174">
        <v>-25</v>
      </c>
      <c r="DK86" s="174">
        <v>-130</v>
      </c>
      <c r="DL86" s="174">
        <v>20</v>
      </c>
      <c r="DM86" s="174">
        <v>20</v>
      </c>
      <c r="DN86" s="174">
        <v>3</v>
      </c>
      <c r="DQ86" s="174">
        <v>16</v>
      </c>
      <c r="DR86" s="174" t="s">
        <v>1315</v>
      </c>
      <c r="DS86" s="205">
        <v>-13</v>
      </c>
      <c r="DT86" s="174">
        <v>-102</v>
      </c>
      <c r="DU86" s="174">
        <v>8</v>
      </c>
      <c r="DV86" s="174">
        <v>8</v>
      </c>
      <c r="DW86" s="174">
        <v>3</v>
      </c>
      <c r="EE86" s="203">
        <v>0.84140000000000037</v>
      </c>
      <c r="EF86" s="174">
        <v>-35</v>
      </c>
      <c r="EH86" s="174">
        <v>16.001000000000001</v>
      </c>
      <c r="EI86" s="174">
        <v>-128</v>
      </c>
      <c r="EO86" s="174" t="s">
        <v>1124</v>
      </c>
      <c r="EP86" s="174" t="s">
        <v>1124</v>
      </c>
      <c r="EQ86" s="174" t="s">
        <v>452</v>
      </c>
      <c r="ER86" s="174" t="s">
        <v>1316</v>
      </c>
      <c r="ES86" s="174" t="s">
        <v>1316</v>
      </c>
      <c r="ET86" s="174" t="s">
        <v>1135</v>
      </c>
      <c r="EU86" s="174" t="s">
        <v>1316</v>
      </c>
      <c r="EV86" s="174" t="s">
        <v>551</v>
      </c>
      <c r="EW86" s="174" t="s">
        <v>437</v>
      </c>
      <c r="EX86" s="174" t="s">
        <v>437</v>
      </c>
      <c r="EY86" s="174" t="s">
        <v>1316</v>
      </c>
      <c r="EZ86" s="174" t="s">
        <v>1316</v>
      </c>
      <c r="FA86" s="174" t="s">
        <v>1316</v>
      </c>
      <c r="FB86" s="174" t="s">
        <v>1317</v>
      </c>
      <c r="FC86" s="174" t="s">
        <v>551</v>
      </c>
      <c r="FD86" s="174" t="s">
        <v>543</v>
      </c>
      <c r="FE86" s="174" t="s">
        <v>487</v>
      </c>
      <c r="FF86" s="174" t="s">
        <v>675</v>
      </c>
      <c r="FG86" s="174" t="s">
        <v>681</v>
      </c>
      <c r="FH86" s="174" t="s">
        <v>681</v>
      </c>
      <c r="FI86" s="174" t="s">
        <v>173</v>
      </c>
      <c r="FJ86" s="174" t="s">
        <v>487</v>
      </c>
      <c r="FK86" s="174" t="s">
        <v>487</v>
      </c>
      <c r="FL86" s="174" t="s">
        <v>1128</v>
      </c>
      <c r="FM86" s="174" t="s">
        <v>487</v>
      </c>
      <c r="FN86" s="174" t="s">
        <v>531</v>
      </c>
      <c r="FO86" s="174" t="s">
        <v>675</v>
      </c>
      <c r="FP86" s="174" t="s">
        <v>487</v>
      </c>
      <c r="FQ86" s="174" t="s">
        <v>1177</v>
      </c>
      <c r="FR86" s="174" t="s">
        <v>1177</v>
      </c>
      <c r="FS86" s="174" t="s">
        <v>531</v>
      </c>
      <c r="FT86" s="174" t="s">
        <v>531</v>
      </c>
      <c r="FU86" s="174" t="s">
        <v>531</v>
      </c>
      <c r="FV86" s="174" t="s">
        <v>1217</v>
      </c>
      <c r="FW86" s="174" t="s">
        <v>681</v>
      </c>
      <c r="FX86" s="174" t="s">
        <v>681</v>
      </c>
      <c r="FY86" s="174" t="s">
        <v>1318</v>
      </c>
      <c r="FZ86" s="174" t="s">
        <v>1124</v>
      </c>
      <c r="GA86" s="174" t="s">
        <v>560</v>
      </c>
      <c r="GB86" s="174" t="s">
        <v>543</v>
      </c>
      <c r="GC86" s="174" t="s">
        <v>560</v>
      </c>
      <c r="GD86" s="174" t="s">
        <v>543</v>
      </c>
      <c r="GE86" s="174" t="s">
        <v>543</v>
      </c>
      <c r="GF86" s="174" t="s">
        <v>543</v>
      </c>
      <c r="GG86" s="174" t="s">
        <v>560</v>
      </c>
      <c r="GH86" s="174" t="s">
        <v>543</v>
      </c>
      <c r="GL86" s="174" t="s">
        <v>553</v>
      </c>
      <c r="GM86" s="174" t="s">
        <v>551</v>
      </c>
      <c r="GN86" s="174" t="s">
        <v>437</v>
      </c>
      <c r="GQ86" s="174" t="s">
        <v>681</v>
      </c>
      <c r="GR86" s="174" t="s">
        <v>550</v>
      </c>
      <c r="HA86" s="174">
        <v>17</v>
      </c>
      <c r="HB86" s="197">
        <v>83</v>
      </c>
      <c r="HC86" s="194">
        <v>62</v>
      </c>
      <c r="HD86" s="238">
        <v>87</v>
      </c>
      <c r="HE86" s="236">
        <v>25</v>
      </c>
      <c r="HF86" s="183">
        <v>148</v>
      </c>
      <c r="HG86" s="193" t="e">
        <f t="shared" si="11"/>
        <v>#N/A</v>
      </c>
      <c r="HH86" s="192" t="e">
        <f t="shared" si="12"/>
        <v>#N/A</v>
      </c>
      <c r="HI86" s="198">
        <v>25</v>
      </c>
      <c r="HJ86" s="185">
        <v>131.5</v>
      </c>
      <c r="HK86" s="174">
        <v>84</v>
      </c>
      <c r="HL86" s="174">
        <v>382</v>
      </c>
      <c r="HM86" s="174">
        <v>396</v>
      </c>
      <c r="HN86" s="174">
        <v>322</v>
      </c>
      <c r="HO86" s="174">
        <v>204</v>
      </c>
      <c r="HP86" s="174">
        <v>194</v>
      </c>
      <c r="HQ86" s="174">
        <v>184</v>
      </c>
      <c r="HR86" s="174">
        <v>174</v>
      </c>
      <c r="HS86" s="174">
        <v>322</v>
      </c>
      <c r="HT86" s="174">
        <v>312</v>
      </c>
      <c r="HU86" s="174">
        <v>184</v>
      </c>
      <c r="HV86" s="174">
        <v>238</v>
      </c>
      <c r="HW86" s="174">
        <v>174</v>
      </c>
      <c r="HX86" s="174">
        <v>164</v>
      </c>
      <c r="HY86" s="174">
        <v>154</v>
      </c>
      <c r="HZ86" s="174">
        <v>144</v>
      </c>
      <c r="IA86" s="174">
        <v>228</v>
      </c>
      <c r="IB86" s="174">
        <v>208</v>
      </c>
      <c r="IC86" s="174">
        <v>144</v>
      </c>
      <c r="ID86" s="174">
        <v>114</v>
      </c>
      <c r="IE86" s="174">
        <v>94</v>
      </c>
      <c r="IF86" s="174">
        <v>86</v>
      </c>
      <c r="IM86" s="174">
        <v>3700000</v>
      </c>
      <c r="IN86" s="174">
        <v>84</v>
      </c>
    </row>
    <row r="87" spans="1:248" ht="13.35" customHeight="1" thickBot="1" x14ac:dyDescent="0.25">
      <c r="A87" s="183">
        <f t="shared" si="9"/>
        <v>86</v>
      </c>
      <c r="B87" s="184">
        <f t="shared" si="13"/>
        <v>4</v>
      </c>
      <c r="C87" s="183">
        <f t="shared" si="10"/>
        <v>86</v>
      </c>
      <c r="D87" s="174">
        <v>30</v>
      </c>
      <c r="E87" s="189" t="s">
        <v>626</v>
      </c>
      <c r="K87" s="174">
        <v>5</v>
      </c>
      <c r="L87" s="174">
        <v>5</v>
      </c>
      <c r="M87" s="174">
        <v>5</v>
      </c>
      <c r="N87" s="174">
        <v>5</v>
      </c>
      <c r="O87" s="174">
        <v>5</v>
      </c>
      <c r="P87" s="174">
        <v>5</v>
      </c>
      <c r="Q87" s="174">
        <v>5</v>
      </c>
      <c r="R87" s="174">
        <v>5</v>
      </c>
      <c r="S87" s="174">
        <v>5</v>
      </c>
      <c r="AA87" s="174">
        <v>5</v>
      </c>
      <c r="AB87" s="174">
        <v>5</v>
      </c>
      <c r="AC87" s="174">
        <v>5</v>
      </c>
      <c r="AF87" s="174">
        <v>5</v>
      </c>
      <c r="AG87" s="174">
        <v>5</v>
      </c>
      <c r="AK87" s="174">
        <v>5</v>
      </c>
      <c r="AL87" s="174">
        <v>5</v>
      </c>
      <c r="AM87" s="174">
        <v>5</v>
      </c>
      <c r="AO87" s="174">
        <v>5</v>
      </c>
      <c r="AP87" s="174">
        <v>5</v>
      </c>
      <c r="AS87" s="174">
        <v>5</v>
      </c>
      <c r="AT87" s="174">
        <v>5</v>
      </c>
      <c r="AU87" s="174">
        <v>5</v>
      </c>
      <c r="AV87" s="174">
        <v>5</v>
      </c>
      <c r="AW87" s="174">
        <v>5</v>
      </c>
      <c r="AX87" s="174">
        <v>5</v>
      </c>
      <c r="AY87" s="174">
        <v>5</v>
      </c>
      <c r="BB87" s="174">
        <v>10</v>
      </c>
      <c r="BC87" s="174">
        <v>10</v>
      </c>
      <c r="BD87" s="174">
        <v>10</v>
      </c>
      <c r="BE87" s="174">
        <v>10</v>
      </c>
      <c r="BF87" s="174">
        <v>5</v>
      </c>
      <c r="BG87" s="174">
        <v>5</v>
      </c>
      <c r="BH87" s="174">
        <v>5</v>
      </c>
      <c r="BI87" s="174">
        <v>5</v>
      </c>
      <c r="BJ87" s="174">
        <v>5</v>
      </c>
      <c r="BK87" s="174">
        <v>5</v>
      </c>
      <c r="BL87" s="174">
        <v>5</v>
      </c>
      <c r="BM87" s="174">
        <v>5</v>
      </c>
      <c r="BN87" s="174">
        <v>5</v>
      </c>
      <c r="BO87" s="174">
        <v>5</v>
      </c>
      <c r="BP87" s="174">
        <v>5</v>
      </c>
      <c r="BQ87" s="174">
        <v>5</v>
      </c>
      <c r="BR87" s="174">
        <v>5</v>
      </c>
      <c r="BS87" s="174">
        <v>10</v>
      </c>
      <c r="BT87" s="174">
        <v>5</v>
      </c>
      <c r="BU87" s="174">
        <v>5</v>
      </c>
      <c r="BV87" s="174">
        <v>5</v>
      </c>
      <c r="BX87" s="174">
        <v>5</v>
      </c>
      <c r="BY87" s="174">
        <v>5</v>
      </c>
      <c r="BZ87" s="174">
        <v>5</v>
      </c>
      <c r="CA87" s="174">
        <v>5</v>
      </c>
      <c r="CB87" s="174">
        <v>5</v>
      </c>
      <c r="CC87" s="174">
        <v>5</v>
      </c>
      <c r="CD87" s="174">
        <v>5</v>
      </c>
      <c r="CE87" s="174">
        <v>5</v>
      </c>
      <c r="CF87" s="174">
        <v>5</v>
      </c>
      <c r="CG87" s="174">
        <v>5</v>
      </c>
      <c r="CH87" s="174">
        <v>5</v>
      </c>
      <c r="CI87" s="174">
        <v>5</v>
      </c>
      <c r="CJ87" s="174">
        <v>5</v>
      </c>
      <c r="CK87" s="174">
        <v>5</v>
      </c>
      <c r="CL87" s="174">
        <v>5</v>
      </c>
      <c r="CM87" s="174">
        <v>5</v>
      </c>
      <c r="CN87" s="174">
        <v>5</v>
      </c>
      <c r="CO87" s="174">
        <v>5</v>
      </c>
      <c r="CP87" s="174">
        <v>5</v>
      </c>
      <c r="CQ87" s="174">
        <v>5</v>
      </c>
      <c r="CY87" s="174">
        <v>5</v>
      </c>
      <c r="CZ87" s="174">
        <v>5</v>
      </c>
      <c r="DB87" s="174">
        <v>5</v>
      </c>
      <c r="DC87" s="174">
        <v>5</v>
      </c>
      <c r="DD87" s="174">
        <v>5</v>
      </c>
      <c r="DH87" s="174">
        <v>17</v>
      </c>
      <c r="DI87" s="174" t="s">
        <v>1319</v>
      </c>
      <c r="DJ87" s="174">
        <v>-15</v>
      </c>
      <c r="DK87" s="174">
        <v>-90</v>
      </c>
      <c r="DL87" s="174">
        <v>0</v>
      </c>
      <c r="DM87" s="174">
        <v>10</v>
      </c>
      <c r="DN87" s="174">
        <v>4</v>
      </c>
      <c r="DQ87" s="174">
        <v>17</v>
      </c>
      <c r="DR87" s="174" t="s">
        <v>1319</v>
      </c>
      <c r="DS87" s="205">
        <v>-4</v>
      </c>
      <c r="DT87" s="174">
        <v>-68</v>
      </c>
      <c r="DU87" s="174">
        <v>0</v>
      </c>
      <c r="DV87" s="174">
        <v>0</v>
      </c>
      <c r="DW87" s="174">
        <v>4</v>
      </c>
      <c r="EE87" s="203">
        <v>0.86680000000000035</v>
      </c>
      <c r="EF87" s="174">
        <v>-30</v>
      </c>
      <c r="EH87" s="174">
        <v>17.001000000000001</v>
      </c>
      <c r="EI87" s="174">
        <v>-136</v>
      </c>
      <c r="EO87" s="174" t="s">
        <v>675</v>
      </c>
      <c r="EP87" s="174" t="s">
        <v>675</v>
      </c>
      <c r="EQ87" s="174" t="s">
        <v>491</v>
      </c>
      <c r="ER87" s="174" t="s">
        <v>681</v>
      </c>
      <c r="ES87" s="174" t="s">
        <v>681</v>
      </c>
      <c r="ET87" s="174" t="s">
        <v>1320</v>
      </c>
      <c r="EU87" s="174" t="s">
        <v>681</v>
      </c>
      <c r="EV87" s="174" t="s">
        <v>1135</v>
      </c>
      <c r="EW87" s="174" t="s">
        <v>551</v>
      </c>
      <c r="EX87" s="174" t="s">
        <v>551</v>
      </c>
      <c r="EY87" s="174" t="s">
        <v>681</v>
      </c>
      <c r="EZ87" s="174" t="s">
        <v>681</v>
      </c>
      <c r="FA87" s="174" t="s">
        <v>681</v>
      </c>
      <c r="FB87" s="174" t="s">
        <v>1137</v>
      </c>
      <c r="FC87" s="174" t="s">
        <v>650</v>
      </c>
      <c r="FD87" s="174" t="s">
        <v>560</v>
      </c>
      <c r="FE87" s="174" t="s">
        <v>1129</v>
      </c>
      <c r="FF87" s="174" t="s">
        <v>1290</v>
      </c>
      <c r="FG87" s="174" t="s">
        <v>530</v>
      </c>
      <c r="FH87" s="174" t="s">
        <v>530</v>
      </c>
      <c r="FI87" s="174" t="s">
        <v>1128</v>
      </c>
      <c r="FL87" s="174" t="s">
        <v>487</v>
      </c>
      <c r="FN87" s="174" t="s">
        <v>1128</v>
      </c>
      <c r="FO87" s="174" t="s">
        <v>1128</v>
      </c>
      <c r="FQ87" s="174" t="s">
        <v>702</v>
      </c>
      <c r="FR87" s="174" t="s">
        <v>702</v>
      </c>
      <c r="FS87" s="174" t="s">
        <v>487</v>
      </c>
      <c r="FT87" s="174" t="s">
        <v>487</v>
      </c>
      <c r="FU87" s="174" t="s">
        <v>487</v>
      </c>
      <c r="FV87" s="174" t="s">
        <v>448</v>
      </c>
      <c r="FW87" s="174" t="s">
        <v>1124</v>
      </c>
      <c r="FX87" s="174" t="s">
        <v>1124</v>
      </c>
      <c r="FY87" s="174" t="s">
        <v>1321</v>
      </c>
      <c r="FZ87" s="174" t="s">
        <v>682</v>
      </c>
      <c r="GA87" s="174" t="s">
        <v>530</v>
      </c>
      <c r="GB87" s="174" t="s">
        <v>560</v>
      </c>
      <c r="GC87" s="174" t="s">
        <v>530</v>
      </c>
      <c r="GD87" s="174" t="s">
        <v>560</v>
      </c>
      <c r="GE87" s="174" t="s">
        <v>560</v>
      </c>
      <c r="GF87" s="174" t="s">
        <v>560</v>
      </c>
      <c r="GG87" s="174" t="s">
        <v>530</v>
      </c>
      <c r="GH87" s="174" t="s">
        <v>560</v>
      </c>
      <c r="GL87" s="174" t="s">
        <v>621</v>
      </c>
      <c r="GM87" s="174" t="s">
        <v>650</v>
      </c>
      <c r="GN87" s="174" t="s">
        <v>1128</v>
      </c>
      <c r="GQ87" s="174" t="s">
        <v>675</v>
      </c>
      <c r="GR87" s="174" t="s">
        <v>173</v>
      </c>
      <c r="HA87" s="174">
        <v>18</v>
      </c>
      <c r="HB87" s="197">
        <v>84</v>
      </c>
      <c r="HC87" s="194">
        <v>62</v>
      </c>
      <c r="HD87" s="238">
        <v>87</v>
      </c>
      <c r="HE87" s="236">
        <v>25</v>
      </c>
      <c r="HF87" s="183">
        <v>149</v>
      </c>
      <c r="HG87" s="193" t="e">
        <f t="shared" si="11"/>
        <v>#N/A</v>
      </c>
      <c r="HH87" s="192" t="e">
        <f t="shared" si="12"/>
        <v>#N/A</v>
      </c>
      <c r="HI87" s="198">
        <v>25</v>
      </c>
      <c r="HJ87" s="185">
        <v>132</v>
      </c>
      <c r="HK87" s="174">
        <v>85</v>
      </c>
      <c r="HL87" s="174">
        <v>385</v>
      </c>
      <c r="HM87" s="174">
        <v>400</v>
      </c>
      <c r="HN87" s="174">
        <v>325</v>
      </c>
      <c r="HO87" s="174">
        <v>205</v>
      </c>
      <c r="HP87" s="174">
        <v>195</v>
      </c>
      <c r="HQ87" s="174">
        <v>185</v>
      </c>
      <c r="HR87" s="174">
        <v>175</v>
      </c>
      <c r="HS87" s="174">
        <v>325</v>
      </c>
      <c r="HT87" s="174">
        <v>315</v>
      </c>
      <c r="HU87" s="174">
        <v>185</v>
      </c>
      <c r="HV87" s="174">
        <v>240</v>
      </c>
      <c r="HW87" s="174">
        <v>175</v>
      </c>
      <c r="HX87" s="174">
        <v>165</v>
      </c>
      <c r="HY87" s="174">
        <v>155</v>
      </c>
      <c r="HZ87" s="174">
        <v>145</v>
      </c>
      <c r="IA87" s="174">
        <v>230</v>
      </c>
      <c r="IB87" s="174">
        <v>210</v>
      </c>
      <c r="IC87" s="174">
        <v>145</v>
      </c>
      <c r="ID87" s="174">
        <v>115</v>
      </c>
      <c r="IE87" s="174">
        <v>95</v>
      </c>
      <c r="IF87" s="174">
        <v>87</v>
      </c>
      <c r="IM87" s="174">
        <v>3750000</v>
      </c>
      <c r="IN87" s="174">
        <v>85</v>
      </c>
    </row>
    <row r="88" spans="1:248" ht="13.35" customHeight="1" thickBot="1" x14ac:dyDescent="0.25">
      <c r="A88" s="183">
        <f t="shared" si="9"/>
        <v>87</v>
      </c>
      <c r="B88" s="184">
        <f t="shared" si="13"/>
        <v>4</v>
      </c>
      <c r="C88" s="183">
        <f t="shared" si="10"/>
        <v>87</v>
      </c>
      <c r="D88" s="174">
        <v>31</v>
      </c>
      <c r="E88" s="189" t="s">
        <v>627</v>
      </c>
      <c r="AA88" s="174">
        <v>5</v>
      </c>
      <c r="AB88" s="174">
        <v>5</v>
      </c>
      <c r="AT88" s="174">
        <v>5</v>
      </c>
      <c r="AW88" s="174">
        <v>10</v>
      </c>
      <c r="CL88" s="174">
        <v>5</v>
      </c>
      <c r="CU88" s="174">
        <v>10</v>
      </c>
      <c r="DH88" s="174">
        <v>18</v>
      </c>
      <c r="DI88" s="174" t="s">
        <v>1322</v>
      </c>
      <c r="DJ88" s="174">
        <v>-20</v>
      </c>
      <c r="DK88" s="174">
        <v>-110</v>
      </c>
      <c r="DL88" s="174">
        <v>10</v>
      </c>
      <c r="DM88" s="174">
        <v>20</v>
      </c>
      <c r="DN88" s="174">
        <v>4</v>
      </c>
      <c r="DQ88" s="174">
        <v>18</v>
      </c>
      <c r="DR88" s="174" t="s">
        <v>1322</v>
      </c>
      <c r="DS88" s="205">
        <v>-8</v>
      </c>
      <c r="DT88" s="174">
        <v>-85</v>
      </c>
      <c r="DU88" s="174">
        <v>0</v>
      </c>
      <c r="DV88" s="174">
        <v>-8</v>
      </c>
      <c r="DW88" s="174">
        <v>4</v>
      </c>
      <c r="EE88" s="203">
        <v>0.89220000000000055</v>
      </c>
      <c r="EF88" s="174">
        <v>-30</v>
      </c>
      <c r="EH88" s="174">
        <v>18.001000000000001</v>
      </c>
      <c r="EI88" s="174">
        <v>-144</v>
      </c>
      <c r="EO88" s="174" t="s">
        <v>1323</v>
      </c>
      <c r="EP88" s="174" t="s">
        <v>1323</v>
      </c>
      <c r="EQ88" s="174" t="s">
        <v>1179</v>
      </c>
      <c r="ER88" s="174" t="s">
        <v>530</v>
      </c>
      <c r="ES88" s="174" t="s">
        <v>530</v>
      </c>
      <c r="ET88" s="174" t="s">
        <v>487</v>
      </c>
      <c r="EU88" s="174" t="s">
        <v>530</v>
      </c>
      <c r="EV88" s="174" t="s">
        <v>1308</v>
      </c>
      <c r="EW88" s="174" t="s">
        <v>1135</v>
      </c>
      <c r="EX88" s="174" t="s">
        <v>1135</v>
      </c>
      <c r="EY88" s="174" t="s">
        <v>530</v>
      </c>
      <c r="EZ88" s="174" t="s">
        <v>530</v>
      </c>
      <c r="FA88" s="174" t="s">
        <v>530</v>
      </c>
      <c r="FB88" s="174" t="s">
        <v>1128</v>
      </c>
      <c r="FC88" s="174" t="s">
        <v>1324</v>
      </c>
      <c r="FD88" s="174" t="s">
        <v>681</v>
      </c>
      <c r="FE88" s="174" t="s">
        <v>420</v>
      </c>
      <c r="FF88" s="174" t="s">
        <v>551</v>
      </c>
      <c r="FG88" s="174" t="s">
        <v>1124</v>
      </c>
      <c r="FH88" s="174" t="s">
        <v>1124</v>
      </c>
      <c r="FI88" s="174" t="s">
        <v>1135</v>
      </c>
      <c r="FJ88" s="174" t="s">
        <v>536</v>
      </c>
      <c r="FK88" s="174" t="s">
        <v>536</v>
      </c>
      <c r="FM88" s="174" t="s">
        <v>536</v>
      </c>
      <c r="FN88" s="174" t="s">
        <v>487</v>
      </c>
      <c r="FO88" s="174" t="s">
        <v>487</v>
      </c>
      <c r="FP88" s="174" t="s">
        <v>536</v>
      </c>
      <c r="FQ88" s="174" t="s">
        <v>1124</v>
      </c>
      <c r="FR88" s="174" t="s">
        <v>1124</v>
      </c>
      <c r="FS88" s="174" t="s">
        <v>671</v>
      </c>
      <c r="FT88" s="174" t="s">
        <v>671</v>
      </c>
      <c r="FU88" s="174" t="s">
        <v>671</v>
      </c>
      <c r="FV88" s="174" t="s">
        <v>681</v>
      </c>
      <c r="FW88" s="174" t="s">
        <v>540</v>
      </c>
      <c r="FX88" s="174" t="s">
        <v>540</v>
      </c>
      <c r="FY88" s="174" t="s">
        <v>1128</v>
      </c>
      <c r="FZ88" s="174" t="s">
        <v>675</v>
      </c>
      <c r="GA88" s="174" t="s">
        <v>1124</v>
      </c>
      <c r="GB88" s="174" t="s">
        <v>530</v>
      </c>
      <c r="GC88" s="174" t="s">
        <v>1124</v>
      </c>
      <c r="GD88" s="174" t="s">
        <v>530</v>
      </c>
      <c r="GE88" s="174" t="s">
        <v>530</v>
      </c>
      <c r="GF88" s="174" t="s">
        <v>530</v>
      </c>
      <c r="GG88" s="174" t="s">
        <v>1124</v>
      </c>
      <c r="GH88" s="174" t="s">
        <v>530</v>
      </c>
      <c r="GL88" s="174" t="s">
        <v>536</v>
      </c>
      <c r="GM88" s="174" t="s">
        <v>487</v>
      </c>
      <c r="GN88" s="174" t="s">
        <v>1135</v>
      </c>
      <c r="GQ88" s="174" t="s">
        <v>173</v>
      </c>
      <c r="GR88" s="174" t="s">
        <v>4070</v>
      </c>
      <c r="HA88" s="174">
        <v>19</v>
      </c>
      <c r="HB88" s="197">
        <v>85</v>
      </c>
      <c r="HC88" s="194">
        <v>63</v>
      </c>
      <c r="HD88" s="238">
        <v>88</v>
      </c>
      <c r="HE88" s="236">
        <v>25</v>
      </c>
      <c r="HF88" s="183">
        <v>150</v>
      </c>
      <c r="HG88" s="193" t="e">
        <f t="shared" si="11"/>
        <v>#N/A</v>
      </c>
      <c r="HH88" s="192" t="e">
        <f t="shared" si="12"/>
        <v>#N/A</v>
      </c>
      <c r="HI88" s="198">
        <v>25</v>
      </c>
      <c r="HJ88" s="185">
        <v>132.5</v>
      </c>
      <c r="HK88" s="174">
        <v>86</v>
      </c>
      <c r="HL88" s="174">
        <v>388</v>
      </c>
      <c r="HM88" s="174">
        <v>404</v>
      </c>
      <c r="HN88" s="174">
        <v>328</v>
      </c>
      <c r="HO88" s="174">
        <v>206</v>
      </c>
      <c r="HP88" s="174">
        <v>196</v>
      </c>
      <c r="HQ88" s="174">
        <v>186</v>
      </c>
      <c r="HR88" s="174">
        <v>176</v>
      </c>
      <c r="HS88" s="174">
        <v>328</v>
      </c>
      <c r="HT88" s="174">
        <v>318</v>
      </c>
      <c r="HU88" s="174">
        <v>186</v>
      </c>
      <c r="HV88" s="174">
        <v>242</v>
      </c>
      <c r="HW88" s="174">
        <v>176</v>
      </c>
      <c r="HX88" s="174">
        <v>166</v>
      </c>
      <c r="HY88" s="174">
        <v>156</v>
      </c>
      <c r="HZ88" s="174">
        <v>146</v>
      </c>
      <c r="IA88" s="174">
        <v>232</v>
      </c>
      <c r="IB88" s="174">
        <v>212</v>
      </c>
      <c r="IC88" s="174">
        <v>146</v>
      </c>
      <c r="ID88" s="174">
        <v>116</v>
      </c>
      <c r="IE88" s="174">
        <v>96</v>
      </c>
      <c r="IF88" s="174">
        <v>88</v>
      </c>
      <c r="IM88" s="174">
        <v>3800000</v>
      </c>
      <c r="IN88" s="174">
        <v>86</v>
      </c>
    </row>
    <row r="89" spans="1:248" ht="13.35" customHeight="1" thickBot="1" x14ac:dyDescent="0.25">
      <c r="A89" s="183">
        <f t="shared" si="9"/>
        <v>88</v>
      </c>
      <c r="B89" s="184">
        <f t="shared" si="13"/>
        <v>4</v>
      </c>
      <c r="C89" s="183">
        <f t="shared" si="10"/>
        <v>88</v>
      </c>
      <c r="D89" s="174">
        <v>32</v>
      </c>
      <c r="E89" s="189" t="s">
        <v>1061</v>
      </c>
      <c r="AA89" s="174">
        <v>5</v>
      </c>
      <c r="AB89" s="174">
        <v>5</v>
      </c>
      <c r="AW89" s="174">
        <v>10</v>
      </c>
      <c r="CL89" s="174">
        <v>5</v>
      </c>
      <c r="CU89" s="174">
        <v>10</v>
      </c>
      <c r="DH89" s="174">
        <v>19</v>
      </c>
      <c r="DI89" s="174" t="s">
        <v>1325</v>
      </c>
      <c r="DJ89" s="174">
        <v>-35</v>
      </c>
      <c r="DK89" s="174">
        <v>-150</v>
      </c>
      <c r="DL89" s="174">
        <v>30</v>
      </c>
      <c r="DM89" s="174">
        <v>30</v>
      </c>
      <c r="DN89" s="174">
        <v>4</v>
      </c>
      <c r="DQ89" s="174">
        <v>19</v>
      </c>
      <c r="DR89" s="174" t="s">
        <v>1325</v>
      </c>
      <c r="DS89" s="205">
        <v>-21</v>
      </c>
      <c r="DT89" s="174">
        <v>-119</v>
      </c>
      <c r="DU89" s="174">
        <v>17</v>
      </c>
      <c r="DV89" s="174">
        <v>17</v>
      </c>
      <c r="DW89" s="174">
        <v>4</v>
      </c>
      <c r="EE89" s="203">
        <v>0.91760000000000086</v>
      </c>
      <c r="EF89" s="174">
        <v>-30</v>
      </c>
      <c r="EH89" s="174">
        <v>19.001000000000001</v>
      </c>
      <c r="EI89" s="174">
        <v>-152</v>
      </c>
      <c r="EO89" s="174" t="s">
        <v>437</v>
      </c>
      <c r="EP89" s="174" t="s">
        <v>437</v>
      </c>
      <c r="EQ89" s="174" t="s">
        <v>616</v>
      </c>
      <c r="ER89" s="174" t="s">
        <v>173</v>
      </c>
      <c r="ES89" s="174" t="s">
        <v>173</v>
      </c>
      <c r="ET89" s="174" t="s">
        <v>1129</v>
      </c>
      <c r="EU89" s="174" t="s">
        <v>173</v>
      </c>
      <c r="EV89" s="174" t="s">
        <v>487</v>
      </c>
      <c r="EW89" s="174" t="s">
        <v>1308</v>
      </c>
      <c r="EX89" s="174" t="s">
        <v>1308</v>
      </c>
      <c r="EY89" s="174" t="s">
        <v>173</v>
      </c>
      <c r="EZ89" s="174" t="s">
        <v>173</v>
      </c>
      <c r="FA89" s="174" t="s">
        <v>173</v>
      </c>
      <c r="FB89" s="174" t="s">
        <v>1135</v>
      </c>
      <c r="FC89" s="174" t="s">
        <v>1129</v>
      </c>
      <c r="FD89" s="174" t="s">
        <v>530</v>
      </c>
      <c r="FE89" s="174" t="s">
        <v>553</v>
      </c>
      <c r="FF89" s="174" t="s">
        <v>650</v>
      </c>
      <c r="FG89" s="174" t="s">
        <v>682</v>
      </c>
      <c r="FH89" s="174" t="s">
        <v>675</v>
      </c>
      <c r="FI89" s="174" t="s">
        <v>487</v>
      </c>
      <c r="FJ89" s="174" t="s">
        <v>449</v>
      </c>
      <c r="FK89" s="174" t="s">
        <v>449</v>
      </c>
      <c r="FL89" s="174" t="s">
        <v>536</v>
      </c>
      <c r="FM89" s="174" t="s">
        <v>449</v>
      </c>
      <c r="FO89" s="174" t="s">
        <v>469</v>
      </c>
      <c r="FP89" s="174" t="s">
        <v>449</v>
      </c>
      <c r="FQ89" s="174" t="s">
        <v>616</v>
      </c>
      <c r="FR89" s="174" t="s">
        <v>616</v>
      </c>
      <c r="FS89" s="174" t="s">
        <v>1326</v>
      </c>
      <c r="FT89" s="174" t="s">
        <v>1326</v>
      </c>
      <c r="FU89" s="174" t="s">
        <v>1326</v>
      </c>
      <c r="FV89" s="174" t="s">
        <v>1124</v>
      </c>
      <c r="FW89" s="174" t="s">
        <v>1327</v>
      </c>
      <c r="FX89" s="174" t="s">
        <v>1327</v>
      </c>
      <c r="FY89" s="174" t="s">
        <v>1272</v>
      </c>
      <c r="FZ89" s="174" t="s">
        <v>1328</v>
      </c>
      <c r="GA89" s="174" t="s">
        <v>675</v>
      </c>
      <c r="GB89" s="174" t="s">
        <v>1124</v>
      </c>
      <c r="GC89" s="174" t="s">
        <v>675</v>
      </c>
      <c r="GD89" s="174" t="s">
        <v>1124</v>
      </c>
      <c r="GE89" s="174" t="s">
        <v>1124</v>
      </c>
      <c r="GF89" s="174" t="s">
        <v>1124</v>
      </c>
      <c r="GG89" s="174" t="s">
        <v>675</v>
      </c>
      <c r="GH89" s="174" t="s">
        <v>1124</v>
      </c>
      <c r="GL89" s="174" t="s">
        <v>471</v>
      </c>
      <c r="GM89" s="174" t="s">
        <v>566</v>
      </c>
      <c r="GN89" s="174" t="s">
        <v>671</v>
      </c>
      <c r="GQ89" s="174" t="s">
        <v>4070</v>
      </c>
      <c r="GR89" s="174" t="s">
        <v>554</v>
      </c>
      <c r="HA89" s="174">
        <v>20</v>
      </c>
      <c r="HB89" s="197">
        <v>86</v>
      </c>
      <c r="HC89" s="194">
        <v>63</v>
      </c>
      <c r="HD89" s="238">
        <v>88</v>
      </c>
      <c r="HE89" s="236">
        <v>25</v>
      </c>
      <c r="HF89" s="183">
        <v>151</v>
      </c>
      <c r="HG89" s="193" t="e">
        <f t="shared" si="11"/>
        <v>#N/A</v>
      </c>
      <c r="HH89" s="192" t="e">
        <f t="shared" si="12"/>
        <v>#N/A</v>
      </c>
      <c r="HI89" s="198">
        <v>25</v>
      </c>
      <c r="HJ89" s="185">
        <v>133</v>
      </c>
      <c r="HK89" s="174">
        <v>87</v>
      </c>
      <c r="HL89" s="174">
        <v>391</v>
      </c>
      <c r="HM89" s="174">
        <v>408</v>
      </c>
      <c r="HN89" s="174">
        <v>331</v>
      </c>
      <c r="HO89" s="174">
        <v>207</v>
      </c>
      <c r="HP89" s="174">
        <v>197</v>
      </c>
      <c r="HQ89" s="174">
        <v>187</v>
      </c>
      <c r="HR89" s="174">
        <v>177</v>
      </c>
      <c r="HS89" s="174">
        <v>331</v>
      </c>
      <c r="HT89" s="174">
        <v>321</v>
      </c>
      <c r="HU89" s="174">
        <v>187</v>
      </c>
      <c r="HV89" s="174">
        <v>244</v>
      </c>
      <c r="HW89" s="174">
        <v>177</v>
      </c>
      <c r="HX89" s="174">
        <v>167</v>
      </c>
      <c r="HY89" s="174">
        <v>157</v>
      </c>
      <c r="HZ89" s="174">
        <v>147</v>
      </c>
      <c r="IA89" s="174">
        <v>234</v>
      </c>
      <c r="IB89" s="174">
        <v>214</v>
      </c>
      <c r="IC89" s="174">
        <v>147</v>
      </c>
      <c r="ID89" s="174">
        <v>117</v>
      </c>
      <c r="IE89" s="174">
        <v>97</v>
      </c>
      <c r="IF89" s="174">
        <v>89</v>
      </c>
      <c r="IM89" s="174">
        <v>3850000</v>
      </c>
      <c r="IN89" s="174">
        <v>87</v>
      </c>
    </row>
    <row r="90" spans="1:248" ht="13.35" customHeight="1" thickBot="1" x14ac:dyDescent="0.25">
      <c r="A90" s="183">
        <f t="shared" si="9"/>
        <v>89</v>
      </c>
      <c r="B90" s="184">
        <f t="shared" si="13"/>
        <v>4</v>
      </c>
      <c r="C90" s="183">
        <f t="shared" si="10"/>
        <v>89</v>
      </c>
      <c r="D90" s="174">
        <v>33</v>
      </c>
      <c r="E90" s="189" t="s">
        <v>637</v>
      </c>
      <c r="G90" s="174">
        <v>5</v>
      </c>
      <c r="I90" s="174">
        <v>15</v>
      </c>
      <c r="J90" s="174">
        <v>5</v>
      </c>
      <c r="O90" s="174">
        <v>5</v>
      </c>
      <c r="P90" s="174">
        <v>10</v>
      </c>
      <c r="Q90" s="174">
        <v>10</v>
      </c>
      <c r="R90" s="174">
        <v>5</v>
      </c>
      <c r="V90" s="174">
        <v>10</v>
      </c>
      <c r="X90" s="174">
        <v>5</v>
      </c>
      <c r="Y90" s="174">
        <v>10</v>
      </c>
      <c r="AC90" s="174">
        <v>5</v>
      </c>
      <c r="AK90" s="174">
        <v>5</v>
      </c>
      <c r="AL90" s="174">
        <v>5</v>
      </c>
      <c r="AM90" s="174">
        <v>5</v>
      </c>
      <c r="AP90" s="174">
        <v>5</v>
      </c>
      <c r="AQ90" s="174">
        <v>5</v>
      </c>
      <c r="AY90" s="174">
        <v>5</v>
      </c>
      <c r="BL90" s="174">
        <v>5</v>
      </c>
      <c r="BR90" s="174">
        <v>5</v>
      </c>
      <c r="DD90" s="174">
        <v>5</v>
      </c>
      <c r="DH90" s="174">
        <v>20</v>
      </c>
      <c r="DI90" s="174" t="s">
        <v>1329</v>
      </c>
      <c r="DJ90" s="174">
        <v>-45</v>
      </c>
      <c r="DK90" s="174">
        <v>-165</v>
      </c>
      <c r="DL90" s="174">
        <v>40</v>
      </c>
      <c r="DM90" s="174">
        <v>40</v>
      </c>
      <c r="DN90" s="174">
        <v>4</v>
      </c>
      <c r="DQ90" s="174">
        <v>20</v>
      </c>
      <c r="DR90" s="174" t="s">
        <v>1329</v>
      </c>
      <c r="DS90" s="205">
        <v>-30</v>
      </c>
      <c r="DT90" s="174">
        <v>-131</v>
      </c>
      <c r="DU90" s="174">
        <v>25</v>
      </c>
      <c r="DV90" s="205">
        <v>25</v>
      </c>
      <c r="DW90" s="174">
        <v>4</v>
      </c>
      <c r="EE90" s="203">
        <v>0.94300000000000084</v>
      </c>
      <c r="EF90" s="174">
        <v>-30</v>
      </c>
      <c r="EH90" s="174">
        <v>20.001000000000001</v>
      </c>
      <c r="EI90" s="174">
        <v>-160</v>
      </c>
      <c r="EO90" s="174" t="s">
        <v>1128</v>
      </c>
      <c r="EP90" s="174" t="s">
        <v>1128</v>
      </c>
      <c r="EQ90" s="174" t="s">
        <v>1141</v>
      </c>
      <c r="ER90" s="174" t="s">
        <v>1128</v>
      </c>
      <c r="ES90" s="174" t="s">
        <v>1128</v>
      </c>
      <c r="ET90" s="174" t="s">
        <v>420</v>
      </c>
      <c r="EU90" s="174" t="s">
        <v>1128</v>
      </c>
      <c r="EV90" s="174" t="s">
        <v>429</v>
      </c>
      <c r="EW90" s="174" t="s">
        <v>487</v>
      </c>
      <c r="EX90" s="174" t="s">
        <v>487</v>
      </c>
      <c r="EY90" s="174" t="s">
        <v>1128</v>
      </c>
      <c r="EZ90" s="174" t="s">
        <v>1128</v>
      </c>
      <c r="FA90" s="174" t="s">
        <v>1128</v>
      </c>
      <c r="FB90" s="174" t="s">
        <v>671</v>
      </c>
      <c r="FC90" s="174" t="s">
        <v>420</v>
      </c>
      <c r="FD90" s="174" t="s">
        <v>561</v>
      </c>
      <c r="FE90" s="174" t="s">
        <v>621</v>
      </c>
      <c r="FF90" s="174" t="s">
        <v>1129</v>
      </c>
      <c r="FG90" s="174" t="s">
        <v>1127</v>
      </c>
      <c r="FH90" s="174" t="s">
        <v>1128</v>
      </c>
      <c r="FI90" s="174" t="s">
        <v>671</v>
      </c>
      <c r="FJ90" s="174" t="s">
        <v>677</v>
      </c>
      <c r="FK90" s="174" t="s">
        <v>677</v>
      </c>
      <c r="FL90" s="174" t="s">
        <v>449</v>
      </c>
      <c r="FM90" s="174" t="s">
        <v>677</v>
      </c>
      <c r="FN90" s="174" t="s">
        <v>536</v>
      </c>
      <c r="FO90" s="174" t="s">
        <v>621</v>
      </c>
      <c r="FP90" s="174" t="s">
        <v>677</v>
      </c>
      <c r="FQ90" s="174" t="s">
        <v>1307</v>
      </c>
      <c r="FR90" s="174" t="s">
        <v>1307</v>
      </c>
      <c r="FS90" s="174" t="s">
        <v>553</v>
      </c>
      <c r="FT90" s="174" t="s">
        <v>553</v>
      </c>
      <c r="FU90" s="174" t="s">
        <v>553</v>
      </c>
      <c r="FV90" s="174" t="s">
        <v>524</v>
      </c>
      <c r="FW90" s="174" t="s">
        <v>1128</v>
      </c>
      <c r="FX90" s="174" t="s">
        <v>1128</v>
      </c>
      <c r="FY90" s="174" t="s">
        <v>1301</v>
      </c>
      <c r="FZ90" s="174" t="s">
        <v>437</v>
      </c>
      <c r="GA90" s="174" t="s">
        <v>1128</v>
      </c>
      <c r="GB90" s="174" t="s">
        <v>675</v>
      </c>
      <c r="GC90" s="174" t="s">
        <v>1128</v>
      </c>
      <c r="GD90" s="174" t="s">
        <v>675</v>
      </c>
      <c r="GE90" s="174" t="s">
        <v>675</v>
      </c>
      <c r="GF90" s="174" t="s">
        <v>675</v>
      </c>
      <c r="GG90" s="174" t="s">
        <v>1128</v>
      </c>
      <c r="GH90" s="174" t="s">
        <v>675</v>
      </c>
      <c r="GL90" s="174" t="s">
        <v>472</v>
      </c>
      <c r="GM90" s="174" t="s">
        <v>433</v>
      </c>
      <c r="GN90" s="174" t="s">
        <v>1330</v>
      </c>
      <c r="GQ90" s="174" t="s">
        <v>1310</v>
      </c>
      <c r="GR90" s="174" t="s">
        <v>1310</v>
      </c>
      <c r="HA90" s="174">
        <v>21</v>
      </c>
      <c r="HB90" s="197">
        <v>87</v>
      </c>
      <c r="HC90" s="194">
        <v>64</v>
      </c>
      <c r="HD90" s="238">
        <v>89</v>
      </c>
      <c r="HE90" s="236">
        <v>25</v>
      </c>
      <c r="HF90" s="183">
        <v>152</v>
      </c>
      <c r="HG90" s="193" t="e">
        <f t="shared" si="11"/>
        <v>#N/A</v>
      </c>
      <c r="HH90" s="192" t="e">
        <f t="shared" si="12"/>
        <v>#N/A</v>
      </c>
      <c r="HI90" s="198">
        <v>25</v>
      </c>
      <c r="HJ90" s="185">
        <v>133.5</v>
      </c>
      <c r="HK90" s="174">
        <v>88</v>
      </c>
      <c r="HL90" s="174">
        <v>394</v>
      </c>
      <c r="HM90" s="174">
        <v>412</v>
      </c>
      <c r="HN90" s="174">
        <v>334</v>
      </c>
      <c r="HO90" s="174">
        <v>208</v>
      </c>
      <c r="HP90" s="174">
        <v>198</v>
      </c>
      <c r="HQ90" s="174">
        <v>188</v>
      </c>
      <c r="HR90" s="174">
        <v>178</v>
      </c>
      <c r="HS90" s="174">
        <v>334</v>
      </c>
      <c r="HT90" s="174">
        <v>324</v>
      </c>
      <c r="HU90" s="174">
        <v>188</v>
      </c>
      <c r="HV90" s="174">
        <v>246</v>
      </c>
      <c r="HW90" s="174">
        <v>178</v>
      </c>
      <c r="HX90" s="174">
        <v>168</v>
      </c>
      <c r="HY90" s="174">
        <v>158</v>
      </c>
      <c r="HZ90" s="174">
        <v>148</v>
      </c>
      <c r="IA90" s="174">
        <v>236</v>
      </c>
      <c r="IB90" s="174">
        <v>216</v>
      </c>
      <c r="IC90" s="174">
        <v>148</v>
      </c>
      <c r="ID90" s="174">
        <v>118</v>
      </c>
      <c r="IE90" s="174">
        <v>98</v>
      </c>
      <c r="IF90" s="174">
        <v>90</v>
      </c>
      <c r="IM90" s="174">
        <v>3900000</v>
      </c>
      <c r="IN90" s="174">
        <v>88</v>
      </c>
    </row>
    <row r="91" spans="1:248" ht="13.35" customHeight="1" thickBot="1" x14ac:dyDescent="0.25">
      <c r="A91" s="183">
        <f t="shared" si="9"/>
        <v>90</v>
      </c>
      <c r="B91" s="184">
        <f t="shared" ref="B91:B101" si="14">ROUND((A91-81)/2,0)</f>
        <v>5</v>
      </c>
      <c r="C91" s="183">
        <f t="shared" si="10"/>
        <v>90</v>
      </c>
      <c r="D91" s="174">
        <v>34</v>
      </c>
      <c r="E91" s="189" t="s">
        <v>654</v>
      </c>
      <c r="EE91" s="203">
        <v>0.96840000000000082</v>
      </c>
      <c r="EF91" s="174">
        <v>-30</v>
      </c>
      <c r="EH91" s="174">
        <v>21.001000000000001</v>
      </c>
      <c r="EI91" s="174">
        <v>-168</v>
      </c>
      <c r="EO91" s="174" t="s">
        <v>1135</v>
      </c>
      <c r="EP91" s="174" t="s">
        <v>1135</v>
      </c>
      <c r="ER91" s="174" t="s">
        <v>1135</v>
      </c>
      <c r="ES91" s="174" t="s">
        <v>1135</v>
      </c>
      <c r="ET91" s="174" t="s">
        <v>1331</v>
      </c>
      <c r="EU91" s="174" t="s">
        <v>1135</v>
      </c>
      <c r="EV91" s="174" t="s">
        <v>671</v>
      </c>
      <c r="EW91" s="174" t="s">
        <v>429</v>
      </c>
      <c r="EX91" s="174" t="s">
        <v>429</v>
      </c>
      <c r="EY91" s="174" t="s">
        <v>1135</v>
      </c>
      <c r="EZ91" s="174" t="s">
        <v>1135</v>
      </c>
      <c r="FA91" s="174" t="s">
        <v>1135</v>
      </c>
      <c r="FB91" s="174" t="s">
        <v>553</v>
      </c>
      <c r="FC91" s="174" t="s">
        <v>553</v>
      </c>
      <c r="FD91" s="174" t="s">
        <v>1124</v>
      </c>
      <c r="FE91" s="174" t="s">
        <v>536</v>
      </c>
      <c r="FF91" s="174" t="s">
        <v>1332</v>
      </c>
      <c r="FG91" s="174" t="s">
        <v>675</v>
      </c>
      <c r="FH91" s="174" t="s">
        <v>487</v>
      </c>
      <c r="FI91" s="174" t="s">
        <v>553</v>
      </c>
      <c r="FJ91" s="174" t="s">
        <v>1307</v>
      </c>
      <c r="FK91" s="174" t="s">
        <v>1307</v>
      </c>
      <c r="FL91" s="174" t="s">
        <v>677</v>
      </c>
      <c r="FM91" s="174" t="s">
        <v>1307</v>
      </c>
      <c r="FN91" s="174" t="s">
        <v>449</v>
      </c>
      <c r="FO91" s="174" t="s">
        <v>566</v>
      </c>
      <c r="FP91" s="174" t="s">
        <v>1307</v>
      </c>
      <c r="FQ91" s="174" t="s">
        <v>1333</v>
      </c>
      <c r="FR91" s="174" t="s">
        <v>1333</v>
      </c>
      <c r="FS91" s="174" t="s">
        <v>1334</v>
      </c>
      <c r="FT91" s="174" t="s">
        <v>1334</v>
      </c>
      <c r="FU91" s="174" t="s">
        <v>1334</v>
      </c>
      <c r="FV91" s="174" t="s">
        <v>540</v>
      </c>
      <c r="FW91" s="174" t="s">
        <v>530</v>
      </c>
      <c r="FX91" s="174" t="s">
        <v>530</v>
      </c>
      <c r="FY91" s="174" t="s">
        <v>1335</v>
      </c>
      <c r="FZ91" s="174" t="s">
        <v>1128</v>
      </c>
      <c r="GA91" s="174" t="s">
        <v>695</v>
      </c>
      <c r="GB91" s="174" t="s">
        <v>1128</v>
      </c>
      <c r="GC91" s="174" t="s">
        <v>695</v>
      </c>
      <c r="GD91" s="174" t="s">
        <v>1128</v>
      </c>
      <c r="GE91" s="174" t="s">
        <v>1128</v>
      </c>
      <c r="GF91" s="174" t="s">
        <v>1128</v>
      </c>
      <c r="GG91" s="174" t="s">
        <v>695</v>
      </c>
      <c r="GH91" s="174" t="s">
        <v>1128</v>
      </c>
      <c r="GL91" s="174" t="s">
        <v>1144</v>
      </c>
      <c r="GM91" s="174" t="s">
        <v>524</v>
      </c>
      <c r="GN91" s="174" t="s">
        <v>469</v>
      </c>
      <c r="GQ91" s="174" t="s">
        <v>450</v>
      </c>
      <c r="GR91" s="174" t="s">
        <v>677</v>
      </c>
      <c r="HA91" s="174">
        <v>22</v>
      </c>
      <c r="HB91" s="197">
        <v>88</v>
      </c>
      <c r="HC91" s="194">
        <v>64</v>
      </c>
      <c r="HD91" s="238">
        <v>89</v>
      </c>
      <c r="HE91" s="236">
        <v>25</v>
      </c>
      <c r="HF91" s="183">
        <v>153</v>
      </c>
      <c r="HG91" s="193" t="e">
        <f t="shared" si="11"/>
        <v>#N/A</v>
      </c>
      <c r="HH91" s="192" t="e">
        <f t="shared" si="12"/>
        <v>#N/A</v>
      </c>
      <c r="HI91" s="198">
        <v>25</v>
      </c>
      <c r="HJ91" s="185">
        <v>134</v>
      </c>
      <c r="HK91" s="174">
        <v>89</v>
      </c>
      <c r="HL91" s="174">
        <v>397</v>
      </c>
      <c r="HM91" s="174">
        <v>416</v>
      </c>
      <c r="HN91" s="174">
        <v>337</v>
      </c>
      <c r="HO91" s="174">
        <v>209</v>
      </c>
      <c r="HP91" s="174">
        <v>199</v>
      </c>
      <c r="HQ91" s="174">
        <v>189</v>
      </c>
      <c r="HR91" s="174">
        <v>179</v>
      </c>
      <c r="HS91" s="174">
        <v>337</v>
      </c>
      <c r="HT91" s="174">
        <v>327</v>
      </c>
      <c r="HU91" s="174">
        <v>189</v>
      </c>
      <c r="HV91" s="174">
        <v>248</v>
      </c>
      <c r="HW91" s="174">
        <v>179</v>
      </c>
      <c r="HX91" s="174">
        <v>169</v>
      </c>
      <c r="HY91" s="174">
        <v>159</v>
      </c>
      <c r="HZ91" s="174">
        <v>149</v>
      </c>
      <c r="IA91" s="174">
        <v>238</v>
      </c>
      <c r="IB91" s="174">
        <v>218</v>
      </c>
      <c r="IC91" s="174">
        <v>149</v>
      </c>
      <c r="ID91" s="174">
        <v>119</v>
      </c>
      <c r="IE91" s="174">
        <v>99</v>
      </c>
      <c r="IF91" s="174">
        <v>91</v>
      </c>
      <c r="IM91" s="174">
        <v>3950000</v>
      </c>
      <c r="IN91" s="174">
        <v>89</v>
      </c>
    </row>
    <row r="92" spans="1:248" ht="13.35" customHeight="1" thickBot="1" x14ac:dyDescent="0.25">
      <c r="A92" s="183">
        <f t="shared" si="9"/>
        <v>91</v>
      </c>
      <c r="B92" s="184">
        <f t="shared" si="14"/>
        <v>5</v>
      </c>
      <c r="C92" s="183">
        <f t="shared" ref="C92:C151" si="15">90+(A92-90)^2</f>
        <v>91</v>
      </c>
      <c r="D92" s="174">
        <v>35</v>
      </c>
      <c r="E92" s="189" t="s">
        <v>657</v>
      </c>
      <c r="DH92" s="174" t="s">
        <v>1336</v>
      </c>
      <c r="DI92" s="174" t="s">
        <v>1337</v>
      </c>
      <c r="DK92" s="174" t="s">
        <v>1336</v>
      </c>
      <c r="DS92" s="174" t="s">
        <v>1336</v>
      </c>
      <c r="DT92" s="174" t="s">
        <v>1337</v>
      </c>
      <c r="DV92" s="174" t="s">
        <v>1336</v>
      </c>
      <c r="EE92" s="203">
        <v>0.99380000000000102</v>
      </c>
      <c r="EF92" s="174">
        <v>-30</v>
      </c>
      <c r="EH92" s="174">
        <v>22.001000000000001</v>
      </c>
      <c r="EI92" s="174">
        <v>-176</v>
      </c>
      <c r="EO92" s="174" t="s">
        <v>487</v>
      </c>
      <c r="EP92" s="174" t="s">
        <v>487</v>
      </c>
      <c r="ER92" s="174" t="s">
        <v>487</v>
      </c>
      <c r="ES92" s="174" t="s">
        <v>487</v>
      </c>
      <c r="ET92" s="174" t="s">
        <v>553</v>
      </c>
      <c r="EU92" s="174" t="s">
        <v>487</v>
      </c>
      <c r="EV92" s="174" t="s">
        <v>553</v>
      </c>
      <c r="EW92" s="174" t="s">
        <v>553</v>
      </c>
      <c r="EX92" s="174" t="s">
        <v>553</v>
      </c>
      <c r="EY92" s="174" t="s">
        <v>487</v>
      </c>
      <c r="EZ92" s="174" t="s">
        <v>487</v>
      </c>
      <c r="FA92" s="174" t="s">
        <v>487</v>
      </c>
      <c r="FB92" s="174" t="s">
        <v>1338</v>
      </c>
      <c r="FC92" s="174" t="s">
        <v>621</v>
      </c>
      <c r="FD92" s="174" t="s">
        <v>675</v>
      </c>
      <c r="FE92" s="174" t="s">
        <v>1339</v>
      </c>
      <c r="FF92" s="174" t="s">
        <v>553</v>
      </c>
      <c r="FG92" s="174" t="s">
        <v>1340</v>
      </c>
      <c r="FH92" s="174" t="s">
        <v>429</v>
      </c>
      <c r="FI92" s="174" t="s">
        <v>621</v>
      </c>
      <c r="FJ92" s="174" t="s">
        <v>452</v>
      </c>
      <c r="FK92" s="174" t="s">
        <v>452</v>
      </c>
      <c r="FL92" s="174" t="s">
        <v>1307</v>
      </c>
      <c r="FM92" s="174" t="s">
        <v>452</v>
      </c>
      <c r="FN92" s="174" t="s">
        <v>677</v>
      </c>
      <c r="FO92" s="174" t="s">
        <v>536</v>
      </c>
      <c r="FP92" s="174" t="s">
        <v>452</v>
      </c>
      <c r="FQ92" s="174" t="s">
        <v>423</v>
      </c>
      <c r="FR92" s="174" t="s">
        <v>423</v>
      </c>
      <c r="FS92" s="174" t="s">
        <v>536</v>
      </c>
      <c r="FT92" s="174" t="s">
        <v>536</v>
      </c>
      <c r="FU92" s="174" t="s">
        <v>536</v>
      </c>
      <c r="FV92" s="174" t="s">
        <v>1327</v>
      </c>
      <c r="FW92" s="174" t="s">
        <v>1305</v>
      </c>
      <c r="FX92" s="174" t="s">
        <v>1305</v>
      </c>
      <c r="FY92" s="174" t="s">
        <v>1341</v>
      </c>
      <c r="FZ92" s="174" t="s">
        <v>1135</v>
      </c>
      <c r="GA92" s="174" t="s">
        <v>487</v>
      </c>
      <c r="GB92" s="174" t="s">
        <v>695</v>
      </c>
      <c r="GC92" s="174" t="s">
        <v>487</v>
      </c>
      <c r="GD92" s="174" t="s">
        <v>695</v>
      </c>
      <c r="GE92" s="174" t="s">
        <v>695</v>
      </c>
      <c r="GF92" s="174" t="s">
        <v>695</v>
      </c>
      <c r="GG92" s="174" t="s">
        <v>487</v>
      </c>
      <c r="GH92" s="174" t="s">
        <v>695</v>
      </c>
      <c r="GL92" s="174" t="s">
        <v>1342</v>
      </c>
      <c r="GM92" s="174" t="s">
        <v>677</v>
      </c>
      <c r="GN92" s="174" t="s">
        <v>566</v>
      </c>
      <c r="GQ92" s="174" t="s">
        <v>677</v>
      </c>
      <c r="GR92" s="174" t="s">
        <v>4071</v>
      </c>
      <c r="HA92" s="174">
        <v>23</v>
      </c>
      <c r="HB92" s="197">
        <v>89</v>
      </c>
      <c r="HC92" s="194">
        <v>65</v>
      </c>
      <c r="HD92" s="238">
        <v>90</v>
      </c>
      <c r="HE92" s="236">
        <v>25</v>
      </c>
      <c r="HF92" s="183">
        <v>154</v>
      </c>
      <c r="HG92" s="193" t="e">
        <f t="shared" si="11"/>
        <v>#N/A</v>
      </c>
      <c r="HH92" s="192" t="e">
        <f t="shared" si="12"/>
        <v>#N/A</v>
      </c>
      <c r="HI92" s="198">
        <v>25</v>
      </c>
      <c r="HJ92" s="185">
        <v>134.5</v>
      </c>
      <c r="HK92" s="182">
        <v>90</v>
      </c>
      <c r="HL92" s="182">
        <v>400</v>
      </c>
      <c r="HM92" s="182">
        <v>420</v>
      </c>
      <c r="HN92" s="182">
        <v>340</v>
      </c>
      <c r="HO92" s="182">
        <v>210</v>
      </c>
      <c r="HP92" s="182">
        <v>200</v>
      </c>
      <c r="HQ92" s="182">
        <v>190</v>
      </c>
      <c r="HR92" s="182">
        <v>180</v>
      </c>
      <c r="HS92" s="174">
        <v>340</v>
      </c>
      <c r="HT92" s="174">
        <v>330</v>
      </c>
      <c r="HU92" s="182">
        <v>190</v>
      </c>
      <c r="HV92" s="182">
        <v>250</v>
      </c>
      <c r="HW92" s="182">
        <v>180</v>
      </c>
      <c r="HX92" s="182">
        <v>170</v>
      </c>
      <c r="HY92" s="182">
        <v>160</v>
      </c>
      <c r="HZ92" s="182">
        <v>150</v>
      </c>
      <c r="IA92" s="174">
        <v>240</v>
      </c>
      <c r="IB92" s="182">
        <v>220</v>
      </c>
      <c r="IC92" s="182">
        <v>150</v>
      </c>
      <c r="ID92" s="182">
        <v>120</v>
      </c>
      <c r="IE92" s="182">
        <v>100</v>
      </c>
      <c r="IF92" s="182">
        <v>92</v>
      </c>
      <c r="IM92" s="174">
        <v>4000000</v>
      </c>
      <c r="IN92" s="174">
        <v>90</v>
      </c>
    </row>
    <row r="93" spans="1:248" ht="13.35" customHeight="1" thickBot="1" x14ac:dyDescent="0.25">
      <c r="A93" s="183">
        <f t="shared" si="9"/>
        <v>92</v>
      </c>
      <c r="B93" s="184">
        <f t="shared" si="14"/>
        <v>6</v>
      </c>
      <c r="C93" s="183">
        <f t="shared" si="15"/>
        <v>94</v>
      </c>
      <c r="D93" s="174">
        <v>36</v>
      </c>
      <c r="E93" s="189" t="s">
        <v>1343</v>
      </c>
      <c r="K93" s="174">
        <v>5</v>
      </c>
      <c r="L93" s="174">
        <v>5</v>
      </c>
      <c r="M93" s="174">
        <v>5</v>
      </c>
      <c r="N93" s="174">
        <v>5</v>
      </c>
      <c r="O93" s="174">
        <v>5</v>
      </c>
      <c r="P93" s="174">
        <v>5</v>
      </c>
      <c r="Q93" s="174">
        <v>5</v>
      </c>
      <c r="R93" s="174">
        <v>5</v>
      </c>
      <c r="S93" s="174">
        <v>5</v>
      </c>
      <c r="AA93" s="174">
        <v>5</v>
      </c>
      <c r="AB93" s="174">
        <v>5</v>
      </c>
      <c r="AD93" s="174">
        <v>5</v>
      </c>
      <c r="AF93" s="174">
        <v>5</v>
      </c>
      <c r="AG93" s="174">
        <v>5</v>
      </c>
      <c r="AK93" s="174">
        <v>5</v>
      </c>
      <c r="AL93" s="174">
        <v>5</v>
      </c>
      <c r="AM93" s="174">
        <v>5</v>
      </c>
      <c r="AO93" s="174">
        <v>5</v>
      </c>
      <c r="AP93" s="174">
        <v>5</v>
      </c>
      <c r="AS93" s="174">
        <v>5</v>
      </c>
      <c r="AT93" s="174">
        <v>5</v>
      </c>
      <c r="AU93" s="174">
        <v>5</v>
      </c>
      <c r="AV93" s="174">
        <v>5</v>
      </c>
      <c r="AW93" s="174">
        <v>5</v>
      </c>
      <c r="AX93" s="174">
        <v>5</v>
      </c>
      <c r="AY93" s="174">
        <v>5</v>
      </c>
      <c r="AZ93" s="174">
        <v>5</v>
      </c>
      <c r="BA93" s="174">
        <v>5</v>
      </c>
      <c r="BB93" s="174">
        <v>5</v>
      </c>
      <c r="BC93" s="174">
        <v>10</v>
      </c>
      <c r="BD93" s="174">
        <v>10</v>
      </c>
      <c r="BE93" s="174">
        <v>10</v>
      </c>
      <c r="BF93" s="174">
        <v>5</v>
      </c>
      <c r="BG93" s="174">
        <v>10</v>
      </c>
      <c r="BH93" s="174">
        <v>5</v>
      </c>
      <c r="BI93" s="174">
        <v>5</v>
      </c>
      <c r="BJ93" s="174">
        <v>5</v>
      </c>
      <c r="BK93" s="174">
        <v>5</v>
      </c>
      <c r="BL93" s="174">
        <v>5</v>
      </c>
      <c r="BM93" s="174">
        <v>5</v>
      </c>
      <c r="BN93" s="174">
        <v>5</v>
      </c>
      <c r="BO93" s="174">
        <v>5</v>
      </c>
      <c r="BP93" s="174">
        <v>5</v>
      </c>
      <c r="BQ93" s="174">
        <v>5</v>
      </c>
      <c r="BR93" s="174">
        <v>10</v>
      </c>
      <c r="BS93" s="174">
        <v>10</v>
      </c>
      <c r="BT93" s="174">
        <v>10</v>
      </c>
      <c r="BU93" s="174">
        <v>5</v>
      </c>
      <c r="BV93" s="174">
        <v>5</v>
      </c>
      <c r="BX93" s="174">
        <v>5</v>
      </c>
      <c r="BY93" s="174">
        <v>5</v>
      </c>
      <c r="BZ93" s="174">
        <v>5</v>
      </c>
      <c r="CA93" s="174">
        <v>5</v>
      </c>
      <c r="CB93" s="174">
        <v>5</v>
      </c>
      <c r="CC93" s="174">
        <v>5</v>
      </c>
      <c r="CD93" s="174">
        <v>5</v>
      </c>
      <c r="CE93" s="174">
        <v>10</v>
      </c>
      <c r="CF93" s="174">
        <v>5</v>
      </c>
      <c r="CG93" s="174">
        <v>5</v>
      </c>
      <c r="CH93" s="174">
        <v>5</v>
      </c>
      <c r="CI93" s="174">
        <v>5</v>
      </c>
      <c r="CJ93" s="174">
        <v>5</v>
      </c>
      <c r="CK93" s="174">
        <v>5</v>
      </c>
      <c r="CL93" s="174">
        <v>5</v>
      </c>
      <c r="CM93" s="174">
        <v>5</v>
      </c>
      <c r="CN93" s="174">
        <v>5</v>
      </c>
      <c r="CO93" s="174">
        <v>5</v>
      </c>
      <c r="CP93" s="174">
        <v>5</v>
      </c>
      <c r="CQ93" s="174">
        <v>5</v>
      </c>
      <c r="CX93" s="174">
        <v>5</v>
      </c>
      <c r="CY93" s="174">
        <v>5</v>
      </c>
      <c r="CZ93" s="174">
        <v>5</v>
      </c>
      <c r="DB93" s="174">
        <v>5</v>
      </c>
      <c r="DC93" s="174">
        <v>5</v>
      </c>
      <c r="DD93" s="174">
        <v>5</v>
      </c>
      <c r="DH93" s="174">
        <v>0</v>
      </c>
      <c r="DI93" s="174">
        <v>0</v>
      </c>
      <c r="DK93" s="174">
        <f>VLOOKUP(Stats!$D$41,$DH$71:$DN$90,7)</f>
        <v>0</v>
      </c>
      <c r="DS93" s="174">
        <v>0</v>
      </c>
      <c r="DT93" s="174">
        <v>0</v>
      </c>
      <c r="DV93" s="174">
        <f>VLOOKUP(Stats!$D$41,$DQ$71:$DW$90,7)</f>
        <v>0</v>
      </c>
      <c r="EE93" s="203">
        <v>1.0192000000000008</v>
      </c>
      <c r="EF93" s="174">
        <v>-25</v>
      </c>
      <c r="EH93" s="174">
        <v>23.001000000000001</v>
      </c>
      <c r="EI93" s="174">
        <v>-184</v>
      </c>
      <c r="EO93" s="174" t="s">
        <v>1129</v>
      </c>
      <c r="EP93" s="174" t="s">
        <v>1129</v>
      </c>
      <c r="ER93" s="174" t="s">
        <v>429</v>
      </c>
      <c r="ES93" s="174" t="s">
        <v>429</v>
      </c>
      <c r="ET93" s="174" t="s">
        <v>1344</v>
      </c>
      <c r="EU93" s="174" t="s">
        <v>429</v>
      </c>
      <c r="EV93" s="174" t="s">
        <v>621</v>
      </c>
      <c r="EW93" s="174" t="s">
        <v>469</v>
      </c>
      <c r="EX93" s="174" t="s">
        <v>469</v>
      </c>
      <c r="EY93" s="174" t="s">
        <v>429</v>
      </c>
      <c r="EZ93" s="174" t="s">
        <v>429</v>
      </c>
      <c r="FA93" s="174" t="s">
        <v>429</v>
      </c>
      <c r="FB93" s="174" t="s">
        <v>1144</v>
      </c>
      <c r="FC93" s="174" t="s">
        <v>606</v>
      </c>
      <c r="FD93" s="174" t="s">
        <v>173</v>
      </c>
      <c r="FE93" s="174" t="s">
        <v>1345</v>
      </c>
      <c r="FF93" s="174" t="s">
        <v>566</v>
      </c>
      <c r="FG93" s="174" t="s">
        <v>173</v>
      </c>
      <c r="FH93" s="174" t="s">
        <v>469</v>
      </c>
      <c r="FI93" s="174" t="s">
        <v>566</v>
      </c>
      <c r="FJ93" s="174" t="s">
        <v>491</v>
      </c>
      <c r="FK93" s="174" t="s">
        <v>491</v>
      </c>
      <c r="FL93" s="174" t="s">
        <v>452</v>
      </c>
      <c r="FM93" s="174" t="s">
        <v>555</v>
      </c>
      <c r="FN93" s="174" t="s">
        <v>1307</v>
      </c>
      <c r="FO93" s="174" t="s">
        <v>524</v>
      </c>
      <c r="FP93" s="174" t="s">
        <v>555</v>
      </c>
      <c r="FQ93" s="174" t="s">
        <v>422</v>
      </c>
      <c r="FR93" s="174" t="s">
        <v>422</v>
      </c>
      <c r="FS93" s="174" t="s">
        <v>449</v>
      </c>
      <c r="FT93" s="174" t="s">
        <v>449</v>
      </c>
      <c r="FU93" s="174" t="s">
        <v>449</v>
      </c>
      <c r="FV93" s="174" t="s">
        <v>1318</v>
      </c>
      <c r="FW93" s="174" t="s">
        <v>448</v>
      </c>
      <c r="FX93" s="174" t="s">
        <v>448</v>
      </c>
      <c r="FY93" s="174" t="s">
        <v>1346</v>
      </c>
      <c r="FZ93" s="174" t="s">
        <v>1347</v>
      </c>
      <c r="GA93" s="174" t="s">
        <v>606</v>
      </c>
      <c r="GB93" s="174" t="s">
        <v>487</v>
      </c>
      <c r="GC93" s="174" t="s">
        <v>606</v>
      </c>
      <c r="GD93" s="174" t="s">
        <v>487</v>
      </c>
      <c r="GE93" s="174" t="s">
        <v>487</v>
      </c>
      <c r="GF93" s="174" t="s">
        <v>487</v>
      </c>
      <c r="GG93" s="174" t="s">
        <v>606</v>
      </c>
      <c r="GH93" s="174" t="s">
        <v>487</v>
      </c>
      <c r="GL93" s="174" t="s">
        <v>677</v>
      </c>
      <c r="GM93" s="174" t="s">
        <v>1146</v>
      </c>
      <c r="GN93" s="174" t="s">
        <v>1348</v>
      </c>
      <c r="GQ93" s="174" t="s">
        <v>4071</v>
      </c>
      <c r="GR93" s="174" t="s">
        <v>452</v>
      </c>
      <c r="HA93" s="174">
        <v>24</v>
      </c>
      <c r="HB93" s="197">
        <v>90</v>
      </c>
      <c r="HC93" s="194">
        <v>65</v>
      </c>
      <c r="HD93" s="238">
        <v>90</v>
      </c>
      <c r="HE93" s="236">
        <v>25</v>
      </c>
      <c r="HF93" s="183">
        <v>155</v>
      </c>
      <c r="HG93" s="193" t="e">
        <f t="shared" si="11"/>
        <v>#N/A</v>
      </c>
      <c r="HH93" s="192" t="e">
        <f t="shared" si="12"/>
        <v>#N/A</v>
      </c>
      <c r="HI93" s="198">
        <v>25</v>
      </c>
      <c r="HJ93" s="185">
        <v>135</v>
      </c>
      <c r="HK93" s="174">
        <v>91</v>
      </c>
      <c r="HL93" s="174">
        <v>403</v>
      </c>
      <c r="HM93" s="174">
        <v>424</v>
      </c>
      <c r="HN93" s="174">
        <v>343</v>
      </c>
      <c r="HO93" s="174">
        <v>211</v>
      </c>
      <c r="HP93" s="174">
        <v>201</v>
      </c>
      <c r="HQ93" s="174">
        <v>191</v>
      </c>
      <c r="HR93" s="174">
        <v>181</v>
      </c>
      <c r="HS93" s="174">
        <v>343</v>
      </c>
      <c r="HT93" s="174">
        <v>333</v>
      </c>
      <c r="HU93" s="174">
        <v>191</v>
      </c>
      <c r="HV93" s="174">
        <v>252</v>
      </c>
      <c r="HW93" s="174">
        <v>181</v>
      </c>
      <c r="HX93" s="174">
        <v>171</v>
      </c>
      <c r="HY93" s="174">
        <v>161</v>
      </c>
      <c r="HZ93" s="174">
        <v>151</v>
      </c>
      <c r="IA93" s="174">
        <v>242</v>
      </c>
      <c r="IB93" s="174">
        <v>222</v>
      </c>
      <c r="IC93" s="174">
        <v>151</v>
      </c>
      <c r="ID93" s="174">
        <v>121</v>
      </c>
      <c r="IE93" s="174">
        <v>101</v>
      </c>
      <c r="IF93" s="174">
        <v>93</v>
      </c>
      <c r="IM93" s="174">
        <v>4050000</v>
      </c>
      <c r="IN93" s="174">
        <v>91</v>
      </c>
    </row>
    <row r="94" spans="1:248" ht="13.35" customHeight="1" thickBot="1" x14ac:dyDescent="0.25">
      <c r="A94" s="183">
        <f t="shared" si="9"/>
        <v>93</v>
      </c>
      <c r="B94" s="184">
        <f t="shared" si="14"/>
        <v>6</v>
      </c>
      <c r="C94" s="183">
        <f t="shared" si="15"/>
        <v>99</v>
      </c>
      <c r="D94" s="174">
        <v>37</v>
      </c>
      <c r="E94" s="189" t="s">
        <v>764</v>
      </c>
      <c r="K94" s="174">
        <v>5</v>
      </c>
      <c r="L94" s="174">
        <v>5</v>
      </c>
      <c r="M94" s="174">
        <v>5</v>
      </c>
      <c r="N94" s="174">
        <v>5</v>
      </c>
      <c r="O94" s="174">
        <v>5</v>
      </c>
      <c r="P94" s="174">
        <v>5</v>
      </c>
      <c r="Q94" s="174">
        <v>5</v>
      </c>
      <c r="R94" s="174">
        <v>5</v>
      </c>
      <c r="S94" s="174">
        <v>5</v>
      </c>
      <c r="AA94" s="174">
        <v>5</v>
      </c>
      <c r="AB94" s="174">
        <v>5</v>
      </c>
      <c r="AD94" s="174">
        <v>5</v>
      </c>
      <c r="AF94" s="174">
        <v>5</v>
      </c>
      <c r="AG94" s="174">
        <v>5</v>
      </c>
      <c r="AK94" s="174">
        <v>5</v>
      </c>
      <c r="AL94" s="174">
        <v>5</v>
      </c>
      <c r="AM94" s="174">
        <v>5</v>
      </c>
      <c r="AO94" s="174">
        <v>5</v>
      </c>
      <c r="AP94" s="174">
        <v>5</v>
      </c>
      <c r="AS94" s="174">
        <v>5</v>
      </c>
      <c r="AT94" s="174">
        <v>5</v>
      </c>
      <c r="AU94" s="174">
        <v>5</v>
      </c>
      <c r="AV94" s="174">
        <v>5</v>
      </c>
      <c r="AW94" s="174">
        <v>5</v>
      </c>
      <c r="AX94" s="174">
        <v>5</v>
      </c>
      <c r="AY94" s="174">
        <v>5</v>
      </c>
      <c r="AZ94" s="174">
        <v>5</v>
      </c>
      <c r="BA94" s="174">
        <v>5</v>
      </c>
      <c r="BB94" s="174">
        <v>5</v>
      </c>
      <c r="BC94" s="174">
        <v>10</v>
      </c>
      <c r="BD94" s="174">
        <v>10</v>
      </c>
      <c r="BE94" s="174">
        <v>10</v>
      </c>
      <c r="BF94" s="174">
        <v>5</v>
      </c>
      <c r="BG94" s="174">
        <v>10</v>
      </c>
      <c r="BH94" s="174">
        <v>5</v>
      </c>
      <c r="BI94" s="174">
        <v>5</v>
      </c>
      <c r="BJ94" s="174">
        <v>5</v>
      </c>
      <c r="BK94" s="174">
        <v>5</v>
      </c>
      <c r="BL94" s="174">
        <v>5</v>
      </c>
      <c r="BM94" s="174">
        <v>5</v>
      </c>
      <c r="BN94" s="174">
        <v>5</v>
      </c>
      <c r="BO94" s="174">
        <v>5</v>
      </c>
      <c r="BP94" s="174">
        <v>5</v>
      </c>
      <c r="BQ94" s="174">
        <v>5</v>
      </c>
      <c r="BR94" s="174">
        <v>10</v>
      </c>
      <c r="BS94" s="174">
        <v>10</v>
      </c>
      <c r="BT94" s="174">
        <v>10</v>
      </c>
      <c r="BU94" s="174">
        <v>5</v>
      </c>
      <c r="BV94" s="174">
        <v>5</v>
      </c>
      <c r="BX94" s="174">
        <v>5</v>
      </c>
      <c r="BY94" s="174">
        <v>5</v>
      </c>
      <c r="BZ94" s="174">
        <v>5</v>
      </c>
      <c r="CA94" s="174">
        <v>5</v>
      </c>
      <c r="CB94" s="174">
        <v>5</v>
      </c>
      <c r="CC94" s="174">
        <v>5</v>
      </c>
      <c r="CD94" s="174">
        <v>5</v>
      </c>
      <c r="CE94" s="174">
        <v>10</v>
      </c>
      <c r="CF94" s="174">
        <v>5</v>
      </c>
      <c r="CG94" s="174">
        <v>5</v>
      </c>
      <c r="CH94" s="174">
        <v>5</v>
      </c>
      <c r="CI94" s="174">
        <v>5</v>
      </c>
      <c r="CJ94" s="174">
        <v>5</v>
      </c>
      <c r="CK94" s="174">
        <v>5</v>
      </c>
      <c r="CL94" s="174">
        <v>5</v>
      </c>
      <c r="CM94" s="174">
        <v>5</v>
      </c>
      <c r="CN94" s="174">
        <v>5</v>
      </c>
      <c r="CO94" s="174">
        <v>5</v>
      </c>
      <c r="CP94" s="174">
        <v>5</v>
      </c>
      <c r="CQ94" s="174">
        <v>5</v>
      </c>
      <c r="CX94" s="174">
        <v>5</v>
      </c>
      <c r="CY94" s="174">
        <v>5</v>
      </c>
      <c r="CZ94" s="174">
        <v>5</v>
      </c>
      <c r="DB94" s="174">
        <v>5</v>
      </c>
      <c r="DC94" s="174">
        <v>5</v>
      </c>
      <c r="DD94" s="174">
        <v>5</v>
      </c>
      <c r="DH94" s="174">
        <v>1</v>
      </c>
      <c r="DI94" s="174">
        <f>Skills!$K$6</f>
        <v>-6.51</v>
      </c>
      <c r="DS94" s="174">
        <v>1</v>
      </c>
      <c r="DT94" s="174">
        <f>Skills!$K$6</f>
        <v>-6.51</v>
      </c>
      <c r="EE94" s="203">
        <v>1.0446000000000009</v>
      </c>
      <c r="EF94" s="174">
        <v>-25</v>
      </c>
      <c r="EH94" s="174">
        <v>24.001000000000001</v>
      </c>
      <c r="EI94" s="174">
        <v>-192</v>
      </c>
      <c r="EO94" s="174" t="s">
        <v>420</v>
      </c>
      <c r="EP94" s="174" t="s">
        <v>420</v>
      </c>
      <c r="ER94" s="174" t="s">
        <v>671</v>
      </c>
      <c r="ES94" s="174" t="s">
        <v>671</v>
      </c>
      <c r="ET94" s="174" t="s">
        <v>606</v>
      </c>
      <c r="EU94" s="174" t="s">
        <v>671</v>
      </c>
      <c r="EV94" s="174" t="s">
        <v>566</v>
      </c>
      <c r="EW94" s="174" t="s">
        <v>566</v>
      </c>
      <c r="EX94" s="174" t="s">
        <v>566</v>
      </c>
      <c r="EY94" s="174" t="s">
        <v>671</v>
      </c>
      <c r="EZ94" s="174" t="s">
        <v>671</v>
      </c>
      <c r="FA94" s="174" t="s">
        <v>671</v>
      </c>
      <c r="FB94" s="174" t="s">
        <v>1349</v>
      </c>
      <c r="FC94" s="174" t="s">
        <v>1339</v>
      </c>
      <c r="FD94" s="174" t="s">
        <v>1128</v>
      </c>
      <c r="FE94" s="174" t="s">
        <v>422</v>
      </c>
      <c r="FF94" s="174" t="s">
        <v>606</v>
      </c>
      <c r="FG94" s="174" t="s">
        <v>1128</v>
      </c>
      <c r="FH94" s="174" t="s">
        <v>606</v>
      </c>
      <c r="FI94" s="174" t="s">
        <v>536</v>
      </c>
      <c r="FJ94" s="174" t="s">
        <v>1179</v>
      </c>
      <c r="FK94" s="174" t="s">
        <v>1179</v>
      </c>
      <c r="FL94" s="174" t="s">
        <v>555</v>
      </c>
      <c r="FM94" s="174" t="s">
        <v>1179</v>
      </c>
      <c r="FN94" s="174" t="s">
        <v>452</v>
      </c>
      <c r="FO94" s="174" t="s">
        <v>677</v>
      </c>
      <c r="FP94" s="174" t="s">
        <v>1179</v>
      </c>
      <c r="FQ94" s="174" t="s">
        <v>450</v>
      </c>
      <c r="FR94" s="174" t="s">
        <v>450</v>
      </c>
      <c r="FS94" s="174" t="s">
        <v>1339</v>
      </c>
      <c r="FT94" s="174" t="s">
        <v>1339</v>
      </c>
      <c r="FU94" s="174" t="s">
        <v>1339</v>
      </c>
      <c r="FV94" s="174" t="s">
        <v>1128</v>
      </c>
      <c r="FW94" s="174" t="s">
        <v>1304</v>
      </c>
      <c r="FX94" s="174" t="s">
        <v>1304</v>
      </c>
      <c r="FY94" s="174" t="s">
        <v>616</v>
      </c>
      <c r="FZ94" s="174" t="s">
        <v>487</v>
      </c>
      <c r="GA94" s="174" t="s">
        <v>524</v>
      </c>
      <c r="GB94" s="174" t="s">
        <v>606</v>
      </c>
      <c r="GC94" s="174" t="s">
        <v>524</v>
      </c>
      <c r="GD94" s="174" t="s">
        <v>606</v>
      </c>
      <c r="GE94" s="174" t="s">
        <v>606</v>
      </c>
      <c r="GF94" s="174" t="s">
        <v>606</v>
      </c>
      <c r="GG94" s="174" t="s">
        <v>524</v>
      </c>
      <c r="GH94" s="174" t="s">
        <v>606</v>
      </c>
      <c r="GL94" s="174" t="s">
        <v>1136</v>
      </c>
      <c r="GM94" s="174" t="s">
        <v>452</v>
      </c>
      <c r="GN94" s="174" t="s">
        <v>449</v>
      </c>
      <c r="GQ94" s="174" t="s">
        <v>452</v>
      </c>
      <c r="GR94" s="174" t="s">
        <v>1349</v>
      </c>
      <c r="HA94" s="174">
        <v>25</v>
      </c>
      <c r="HB94" s="197">
        <v>91</v>
      </c>
      <c r="HC94" s="194">
        <v>66</v>
      </c>
      <c r="HD94" s="238">
        <v>91</v>
      </c>
      <c r="HE94" s="236">
        <v>25</v>
      </c>
      <c r="HF94" s="183">
        <v>156</v>
      </c>
      <c r="HG94" s="193" t="e">
        <f t="shared" si="11"/>
        <v>#N/A</v>
      </c>
      <c r="HH94" s="192" t="e">
        <f t="shared" si="12"/>
        <v>#N/A</v>
      </c>
      <c r="HI94" s="198">
        <v>25</v>
      </c>
      <c r="HJ94" s="185">
        <v>135.5</v>
      </c>
      <c r="HK94" s="174">
        <v>92</v>
      </c>
      <c r="HL94" s="174">
        <v>406</v>
      </c>
      <c r="HM94" s="174">
        <v>428</v>
      </c>
      <c r="HN94" s="174">
        <v>346</v>
      </c>
      <c r="HO94" s="174">
        <v>212</v>
      </c>
      <c r="HP94" s="174">
        <v>202</v>
      </c>
      <c r="HQ94" s="174">
        <v>192</v>
      </c>
      <c r="HR94" s="174">
        <v>182</v>
      </c>
      <c r="HS94" s="174">
        <v>346</v>
      </c>
      <c r="HT94" s="174">
        <v>336</v>
      </c>
      <c r="HU94" s="174">
        <v>192</v>
      </c>
      <c r="HV94" s="174">
        <v>254</v>
      </c>
      <c r="HW94" s="174">
        <v>182</v>
      </c>
      <c r="HX94" s="174">
        <v>172</v>
      </c>
      <c r="HY94" s="174">
        <v>162</v>
      </c>
      <c r="HZ94" s="174">
        <v>152</v>
      </c>
      <c r="IA94" s="174">
        <v>244</v>
      </c>
      <c r="IB94" s="174">
        <v>224</v>
      </c>
      <c r="IC94" s="174">
        <v>152</v>
      </c>
      <c r="ID94" s="174">
        <v>122</v>
      </c>
      <c r="IE94" s="174">
        <v>102</v>
      </c>
      <c r="IF94" s="174">
        <v>94</v>
      </c>
      <c r="IM94" s="174">
        <v>4100000</v>
      </c>
      <c r="IN94" s="174">
        <v>92</v>
      </c>
    </row>
    <row r="95" spans="1:248" ht="13.35" customHeight="1" thickBot="1" x14ac:dyDescent="0.25">
      <c r="A95" s="183">
        <f t="shared" si="9"/>
        <v>94</v>
      </c>
      <c r="B95" s="184">
        <f t="shared" si="14"/>
        <v>7</v>
      </c>
      <c r="C95" s="183">
        <f t="shared" si="15"/>
        <v>106</v>
      </c>
      <c r="D95" s="174">
        <v>38</v>
      </c>
      <c r="E95" s="189" t="s">
        <v>762</v>
      </c>
      <c r="K95" s="174">
        <v>5</v>
      </c>
      <c r="L95" s="174">
        <v>5</v>
      </c>
      <c r="M95" s="174">
        <v>5</v>
      </c>
      <c r="N95" s="174">
        <v>5</v>
      </c>
      <c r="O95" s="174">
        <v>5</v>
      </c>
      <c r="P95" s="174">
        <v>5</v>
      </c>
      <c r="Q95" s="174">
        <v>5</v>
      </c>
      <c r="R95" s="174">
        <v>5</v>
      </c>
      <c r="S95" s="174">
        <v>5</v>
      </c>
      <c r="AA95" s="174">
        <v>5</v>
      </c>
      <c r="AB95" s="174">
        <v>5</v>
      </c>
      <c r="AD95" s="174">
        <v>5</v>
      </c>
      <c r="AF95" s="174">
        <v>5</v>
      </c>
      <c r="AG95" s="174">
        <v>5</v>
      </c>
      <c r="AK95" s="174">
        <v>5</v>
      </c>
      <c r="AL95" s="174">
        <v>5</v>
      </c>
      <c r="AM95" s="174">
        <v>5</v>
      </c>
      <c r="AO95" s="174">
        <v>5</v>
      </c>
      <c r="AP95" s="174">
        <v>5</v>
      </c>
      <c r="AS95" s="174">
        <v>5</v>
      </c>
      <c r="AT95" s="174">
        <v>5</v>
      </c>
      <c r="AU95" s="174">
        <v>5</v>
      </c>
      <c r="AV95" s="174">
        <v>5</v>
      </c>
      <c r="AW95" s="174">
        <v>5</v>
      </c>
      <c r="AX95" s="174">
        <v>5</v>
      </c>
      <c r="AY95" s="174">
        <v>5</v>
      </c>
      <c r="AZ95" s="174">
        <v>5</v>
      </c>
      <c r="BA95" s="174">
        <v>5</v>
      </c>
      <c r="BB95" s="174">
        <v>5</v>
      </c>
      <c r="BC95" s="174">
        <v>10</v>
      </c>
      <c r="BD95" s="174">
        <v>10</v>
      </c>
      <c r="BE95" s="174">
        <v>10</v>
      </c>
      <c r="BF95" s="174">
        <v>5</v>
      </c>
      <c r="BG95" s="174">
        <v>10</v>
      </c>
      <c r="BH95" s="174">
        <v>5</v>
      </c>
      <c r="BI95" s="174">
        <v>5</v>
      </c>
      <c r="BJ95" s="174">
        <v>5</v>
      </c>
      <c r="BK95" s="174">
        <v>5</v>
      </c>
      <c r="BL95" s="174">
        <v>5</v>
      </c>
      <c r="BM95" s="174">
        <v>5</v>
      </c>
      <c r="BN95" s="174">
        <v>5</v>
      </c>
      <c r="BO95" s="174">
        <v>5</v>
      </c>
      <c r="BP95" s="174">
        <v>5</v>
      </c>
      <c r="BQ95" s="174">
        <v>5</v>
      </c>
      <c r="BR95" s="174">
        <v>10</v>
      </c>
      <c r="BS95" s="174">
        <v>10</v>
      </c>
      <c r="BT95" s="174">
        <v>10</v>
      </c>
      <c r="BU95" s="174">
        <v>5</v>
      </c>
      <c r="BV95" s="174">
        <v>5</v>
      </c>
      <c r="BX95" s="174">
        <v>5</v>
      </c>
      <c r="BY95" s="174">
        <v>5</v>
      </c>
      <c r="BZ95" s="174">
        <v>5</v>
      </c>
      <c r="CA95" s="174">
        <v>5</v>
      </c>
      <c r="CB95" s="174">
        <v>5</v>
      </c>
      <c r="CC95" s="174">
        <v>5</v>
      </c>
      <c r="CD95" s="174">
        <v>5</v>
      </c>
      <c r="CE95" s="174">
        <v>10</v>
      </c>
      <c r="CF95" s="174">
        <v>5</v>
      </c>
      <c r="CG95" s="174">
        <v>5</v>
      </c>
      <c r="CH95" s="174">
        <v>5</v>
      </c>
      <c r="CI95" s="174">
        <v>5</v>
      </c>
      <c r="CJ95" s="174">
        <v>5</v>
      </c>
      <c r="CK95" s="174">
        <v>5</v>
      </c>
      <c r="CL95" s="174">
        <v>5</v>
      </c>
      <c r="CM95" s="174">
        <v>5</v>
      </c>
      <c r="CN95" s="174">
        <v>5</v>
      </c>
      <c r="CO95" s="174">
        <v>5</v>
      </c>
      <c r="CP95" s="174">
        <v>5</v>
      </c>
      <c r="CQ95" s="174">
        <v>5</v>
      </c>
      <c r="CX95" s="174">
        <v>5</v>
      </c>
      <c r="CY95" s="174">
        <v>5</v>
      </c>
      <c r="CZ95" s="174">
        <v>5</v>
      </c>
      <c r="DB95" s="174">
        <v>5</v>
      </c>
      <c r="DC95" s="174">
        <v>5</v>
      </c>
      <c r="DD95" s="174">
        <v>5</v>
      </c>
      <c r="DH95" s="174">
        <v>2</v>
      </c>
      <c r="DI95" s="174">
        <f>Skills!$K$7</f>
        <v>-6.51</v>
      </c>
      <c r="DK95" s="174" t="s">
        <v>1337</v>
      </c>
      <c r="DS95" s="174">
        <v>2</v>
      </c>
      <c r="DT95" s="174">
        <f>Skills!$K$7</f>
        <v>-6.51</v>
      </c>
      <c r="DV95" s="174" t="s">
        <v>1337</v>
      </c>
      <c r="EE95" s="203">
        <v>1.070000000000001</v>
      </c>
      <c r="EF95" s="174">
        <v>-25</v>
      </c>
      <c r="EH95" s="174">
        <v>25.001000000000001</v>
      </c>
      <c r="EI95" s="174">
        <v>-200</v>
      </c>
      <c r="EO95" s="174" t="s">
        <v>553</v>
      </c>
      <c r="EP95" s="174" t="s">
        <v>553</v>
      </c>
      <c r="ER95" s="174" t="s">
        <v>1129</v>
      </c>
      <c r="ES95" s="174" t="s">
        <v>1129</v>
      </c>
      <c r="ET95" s="174" t="s">
        <v>536</v>
      </c>
      <c r="EU95" s="174" t="s">
        <v>1129</v>
      </c>
      <c r="EV95" s="174" t="s">
        <v>606</v>
      </c>
      <c r="EW95" s="174" t="s">
        <v>606</v>
      </c>
      <c r="EX95" s="174" t="s">
        <v>606</v>
      </c>
      <c r="EY95" s="174" t="s">
        <v>1129</v>
      </c>
      <c r="EZ95" s="174" t="s">
        <v>1129</v>
      </c>
      <c r="FA95" s="174" t="s">
        <v>1129</v>
      </c>
      <c r="FB95" s="174" t="s">
        <v>1132</v>
      </c>
      <c r="FC95" s="174" t="s">
        <v>422</v>
      </c>
      <c r="FD95" s="174" t="s">
        <v>650</v>
      </c>
      <c r="FE95" s="174" t="s">
        <v>1342</v>
      </c>
      <c r="FF95" s="174" t="s">
        <v>1339</v>
      </c>
      <c r="FG95" s="174" t="s">
        <v>551</v>
      </c>
      <c r="FH95" s="174" t="s">
        <v>524</v>
      </c>
      <c r="FI95" s="174" t="s">
        <v>448</v>
      </c>
      <c r="FJ95" s="174" t="s">
        <v>616</v>
      </c>
      <c r="FK95" s="174" t="s">
        <v>616</v>
      </c>
      <c r="FL95" s="174" t="s">
        <v>1179</v>
      </c>
      <c r="FM95" s="174" t="s">
        <v>616</v>
      </c>
      <c r="FN95" s="174" t="s">
        <v>555</v>
      </c>
      <c r="FO95" s="174" t="s">
        <v>452</v>
      </c>
      <c r="FP95" s="174" t="s">
        <v>616</v>
      </c>
      <c r="FQ95" s="174" t="s">
        <v>437</v>
      </c>
      <c r="FR95" s="174" t="s">
        <v>437</v>
      </c>
      <c r="FS95" s="174" t="s">
        <v>471</v>
      </c>
      <c r="FT95" s="174" t="s">
        <v>471</v>
      </c>
      <c r="FU95" s="174" t="s">
        <v>471</v>
      </c>
      <c r="FV95" s="174" t="s">
        <v>1305</v>
      </c>
      <c r="FW95" s="174" t="s">
        <v>524</v>
      </c>
      <c r="FX95" s="174" t="s">
        <v>524</v>
      </c>
      <c r="FY95" s="174" t="s">
        <v>618</v>
      </c>
      <c r="FZ95" s="174" t="s">
        <v>1350</v>
      </c>
      <c r="GA95" s="174" t="s">
        <v>1310</v>
      </c>
      <c r="GB95" s="174" t="s">
        <v>524</v>
      </c>
      <c r="GC95" s="174" t="s">
        <v>1310</v>
      </c>
      <c r="GD95" s="174" t="s">
        <v>524</v>
      </c>
      <c r="GE95" s="174" t="s">
        <v>524</v>
      </c>
      <c r="GF95" s="174" t="s">
        <v>524</v>
      </c>
      <c r="GG95" s="174" t="s">
        <v>1310</v>
      </c>
      <c r="GH95" s="174" t="s">
        <v>524</v>
      </c>
      <c r="GL95" s="174" t="s">
        <v>423</v>
      </c>
      <c r="GM95" s="174" t="s">
        <v>423</v>
      </c>
      <c r="GN95" s="174" t="s">
        <v>450</v>
      </c>
      <c r="GQ95" s="174" t="s">
        <v>1349</v>
      </c>
      <c r="HA95" s="174">
        <v>26</v>
      </c>
      <c r="HB95" s="197">
        <v>92</v>
      </c>
      <c r="HC95" s="194">
        <v>66</v>
      </c>
      <c r="HD95" s="238">
        <v>91</v>
      </c>
      <c r="HE95" s="236">
        <v>25</v>
      </c>
      <c r="HF95" s="183">
        <v>157</v>
      </c>
      <c r="HG95" s="193" t="e">
        <f t="shared" si="11"/>
        <v>#N/A</v>
      </c>
      <c r="HH95" s="192" t="e">
        <f t="shared" si="12"/>
        <v>#N/A</v>
      </c>
      <c r="HI95" s="198">
        <v>25</v>
      </c>
      <c r="HJ95" s="185">
        <v>136</v>
      </c>
      <c r="HK95" s="174">
        <v>93</v>
      </c>
      <c r="HL95" s="174">
        <v>409</v>
      </c>
      <c r="HM95" s="174">
        <v>432</v>
      </c>
      <c r="HN95" s="174">
        <v>349</v>
      </c>
      <c r="HO95" s="174">
        <v>213</v>
      </c>
      <c r="HP95" s="174">
        <v>203</v>
      </c>
      <c r="HQ95" s="174">
        <v>193</v>
      </c>
      <c r="HR95" s="174">
        <v>183</v>
      </c>
      <c r="HS95" s="174">
        <v>349</v>
      </c>
      <c r="HT95" s="174">
        <v>339</v>
      </c>
      <c r="HU95" s="174">
        <v>193</v>
      </c>
      <c r="HV95" s="174">
        <v>256</v>
      </c>
      <c r="HW95" s="174">
        <v>183</v>
      </c>
      <c r="HX95" s="174">
        <v>173</v>
      </c>
      <c r="HY95" s="174">
        <v>163</v>
      </c>
      <c r="HZ95" s="174">
        <v>153</v>
      </c>
      <c r="IA95" s="174">
        <v>246</v>
      </c>
      <c r="IB95" s="174">
        <v>226</v>
      </c>
      <c r="IC95" s="174">
        <v>153</v>
      </c>
      <c r="ID95" s="174">
        <v>123</v>
      </c>
      <c r="IE95" s="174">
        <v>103</v>
      </c>
      <c r="IF95" s="174">
        <v>95</v>
      </c>
      <c r="IM95" s="174">
        <v>4150000</v>
      </c>
      <c r="IN95" s="174">
        <v>93</v>
      </c>
    </row>
    <row r="96" spans="1:248" ht="13.35" customHeight="1" thickBot="1" x14ac:dyDescent="0.25">
      <c r="A96" s="183">
        <f t="shared" si="9"/>
        <v>95</v>
      </c>
      <c r="B96" s="184">
        <f t="shared" si="14"/>
        <v>7</v>
      </c>
      <c r="C96" s="183">
        <f t="shared" si="15"/>
        <v>115</v>
      </c>
      <c r="D96" s="174">
        <v>39</v>
      </c>
      <c r="E96" s="189" t="s">
        <v>763</v>
      </c>
      <c r="K96" s="174">
        <v>5</v>
      </c>
      <c r="L96" s="174">
        <v>5</v>
      </c>
      <c r="M96" s="174">
        <v>5</v>
      </c>
      <c r="N96" s="174">
        <v>5</v>
      </c>
      <c r="O96" s="174">
        <v>5</v>
      </c>
      <c r="P96" s="174">
        <v>5</v>
      </c>
      <c r="Q96" s="174">
        <v>5</v>
      </c>
      <c r="R96" s="174">
        <v>5</v>
      </c>
      <c r="S96" s="174">
        <v>5</v>
      </c>
      <c r="AA96" s="174">
        <v>5</v>
      </c>
      <c r="AB96" s="174">
        <v>5</v>
      </c>
      <c r="AD96" s="174">
        <v>5</v>
      </c>
      <c r="AF96" s="174">
        <v>5</v>
      </c>
      <c r="AG96" s="174">
        <v>5</v>
      </c>
      <c r="AK96" s="174">
        <v>5</v>
      </c>
      <c r="AL96" s="174">
        <v>5</v>
      </c>
      <c r="AM96" s="174">
        <v>5</v>
      </c>
      <c r="AO96" s="174">
        <v>5</v>
      </c>
      <c r="AP96" s="174">
        <v>5</v>
      </c>
      <c r="AS96" s="174">
        <v>5</v>
      </c>
      <c r="AT96" s="174">
        <v>5</v>
      </c>
      <c r="AU96" s="174">
        <v>5</v>
      </c>
      <c r="AV96" s="174">
        <v>5</v>
      </c>
      <c r="AW96" s="174">
        <v>5</v>
      </c>
      <c r="AX96" s="174">
        <v>5</v>
      </c>
      <c r="AY96" s="174">
        <v>5</v>
      </c>
      <c r="AZ96" s="174">
        <v>5</v>
      </c>
      <c r="BA96" s="174">
        <v>5</v>
      </c>
      <c r="BB96" s="174">
        <v>5</v>
      </c>
      <c r="BC96" s="174">
        <v>10</v>
      </c>
      <c r="BD96" s="174">
        <v>10</v>
      </c>
      <c r="BE96" s="174">
        <v>10</v>
      </c>
      <c r="BF96" s="174">
        <v>5</v>
      </c>
      <c r="BG96" s="174">
        <v>10</v>
      </c>
      <c r="BH96" s="174">
        <v>5</v>
      </c>
      <c r="BI96" s="174">
        <v>5</v>
      </c>
      <c r="BJ96" s="174">
        <v>5</v>
      </c>
      <c r="BK96" s="174">
        <v>5</v>
      </c>
      <c r="BL96" s="174">
        <v>5</v>
      </c>
      <c r="BM96" s="174">
        <v>5</v>
      </c>
      <c r="BN96" s="174">
        <v>5</v>
      </c>
      <c r="BO96" s="174">
        <v>5</v>
      </c>
      <c r="BP96" s="174">
        <v>5</v>
      </c>
      <c r="BQ96" s="174">
        <v>5</v>
      </c>
      <c r="BR96" s="174">
        <v>10</v>
      </c>
      <c r="BS96" s="174">
        <v>10</v>
      </c>
      <c r="BT96" s="174">
        <v>10</v>
      </c>
      <c r="BU96" s="174">
        <v>5</v>
      </c>
      <c r="BV96" s="174">
        <v>5</v>
      </c>
      <c r="BX96" s="174">
        <v>5</v>
      </c>
      <c r="BY96" s="174">
        <v>5</v>
      </c>
      <c r="BZ96" s="174">
        <v>5</v>
      </c>
      <c r="CA96" s="174">
        <v>5</v>
      </c>
      <c r="CB96" s="174">
        <v>5</v>
      </c>
      <c r="CC96" s="174">
        <v>5</v>
      </c>
      <c r="CD96" s="174">
        <v>5</v>
      </c>
      <c r="CE96" s="174">
        <v>10</v>
      </c>
      <c r="CF96" s="174">
        <v>5</v>
      </c>
      <c r="CG96" s="174">
        <v>5</v>
      </c>
      <c r="CH96" s="174">
        <v>5</v>
      </c>
      <c r="CI96" s="174">
        <v>5</v>
      </c>
      <c r="CJ96" s="174">
        <v>5</v>
      </c>
      <c r="CK96" s="174">
        <v>5</v>
      </c>
      <c r="CL96" s="174">
        <v>5</v>
      </c>
      <c r="CM96" s="174">
        <v>5</v>
      </c>
      <c r="CN96" s="174">
        <v>5</v>
      </c>
      <c r="CO96" s="174">
        <v>5</v>
      </c>
      <c r="CP96" s="174">
        <v>5</v>
      </c>
      <c r="CQ96" s="174">
        <v>5</v>
      </c>
      <c r="CX96" s="174">
        <v>5</v>
      </c>
      <c r="CY96" s="174">
        <v>5</v>
      </c>
      <c r="CZ96" s="174">
        <v>5</v>
      </c>
      <c r="DB96" s="174">
        <v>5</v>
      </c>
      <c r="DC96" s="174">
        <v>5</v>
      </c>
      <c r="DD96" s="174">
        <v>5</v>
      </c>
      <c r="DH96" s="174">
        <v>3</v>
      </c>
      <c r="DI96" s="174">
        <f>Skills!$K$9</f>
        <v>-24.509999999999998</v>
      </c>
      <c r="DK96" s="174">
        <f>VLOOKUP($DK$93,$DH$93:$DI$97,2)</f>
        <v>0</v>
      </c>
      <c r="DS96" s="174">
        <v>3</v>
      </c>
      <c r="DT96" s="174">
        <f>Skills!$K$9</f>
        <v>-24.509999999999998</v>
      </c>
      <c r="DV96" s="174">
        <f>VLOOKUP($DV$93,$DS$93:$DT$97,2)</f>
        <v>0</v>
      </c>
      <c r="EE96" s="203">
        <v>1.095400000000001</v>
      </c>
      <c r="EF96" s="174">
        <v>-25</v>
      </c>
      <c r="EH96" s="174">
        <v>26.001000000000001</v>
      </c>
      <c r="EI96" s="174">
        <v>-208</v>
      </c>
      <c r="EO96" s="174" t="s">
        <v>1334</v>
      </c>
      <c r="EP96" s="174" t="s">
        <v>1334</v>
      </c>
      <c r="ER96" s="174" t="s">
        <v>553</v>
      </c>
      <c r="ES96" s="174" t="s">
        <v>553</v>
      </c>
      <c r="ET96" s="174" t="s">
        <v>1339</v>
      </c>
      <c r="EU96" s="174" t="s">
        <v>553</v>
      </c>
      <c r="EV96" s="174" t="s">
        <v>536</v>
      </c>
      <c r="EW96" s="174" t="s">
        <v>536</v>
      </c>
      <c r="EX96" s="174" t="s">
        <v>536</v>
      </c>
      <c r="EY96" s="174" t="s">
        <v>553</v>
      </c>
      <c r="EZ96" s="174" t="s">
        <v>553</v>
      </c>
      <c r="FA96" s="174" t="s">
        <v>553</v>
      </c>
      <c r="FC96" s="174" t="s">
        <v>1310</v>
      </c>
      <c r="FD96" s="174" t="s">
        <v>487</v>
      </c>
      <c r="FE96" s="174" t="s">
        <v>1351</v>
      </c>
      <c r="FF96" s="174" t="s">
        <v>422</v>
      </c>
      <c r="FG96" s="174" t="s">
        <v>1135</v>
      </c>
      <c r="FH96" s="174" t="s">
        <v>1352</v>
      </c>
      <c r="FI96" s="174" t="s">
        <v>433</v>
      </c>
      <c r="FJ96" s="174" t="s">
        <v>1141</v>
      </c>
      <c r="FK96" s="174" t="s">
        <v>1141</v>
      </c>
      <c r="FL96" s="174" t="s">
        <v>616</v>
      </c>
      <c r="FM96" s="174" t="s">
        <v>1141</v>
      </c>
      <c r="FN96" s="174" t="s">
        <v>1179</v>
      </c>
      <c r="FO96" s="174" t="s">
        <v>423</v>
      </c>
      <c r="FP96" s="174" t="s">
        <v>1141</v>
      </c>
      <c r="FQ96" s="174" t="s">
        <v>1331</v>
      </c>
      <c r="FR96" s="174" t="s">
        <v>1331</v>
      </c>
      <c r="FS96" s="174" t="s">
        <v>677</v>
      </c>
      <c r="FT96" s="174" t="s">
        <v>677</v>
      </c>
      <c r="FU96" s="174" t="s">
        <v>677</v>
      </c>
      <c r="FV96" s="174" t="s">
        <v>530</v>
      </c>
      <c r="FW96" s="174" t="s">
        <v>1353</v>
      </c>
      <c r="FX96" s="174" t="s">
        <v>472</v>
      </c>
      <c r="FY96" s="174" t="s">
        <v>1304</v>
      </c>
      <c r="FZ96" s="174" t="s">
        <v>1354</v>
      </c>
      <c r="GA96" s="174" t="s">
        <v>677</v>
      </c>
      <c r="GB96" s="174" t="s">
        <v>1310</v>
      </c>
      <c r="GC96" s="174" t="s">
        <v>677</v>
      </c>
      <c r="GD96" s="174" t="s">
        <v>1310</v>
      </c>
      <c r="GE96" s="174" t="s">
        <v>1310</v>
      </c>
      <c r="GF96" s="174" t="s">
        <v>1310</v>
      </c>
      <c r="GG96" s="174" t="s">
        <v>677</v>
      </c>
      <c r="GH96" s="174" t="s">
        <v>1310</v>
      </c>
      <c r="GL96" s="174" t="s">
        <v>491</v>
      </c>
      <c r="GM96" s="174" t="s">
        <v>1355</v>
      </c>
      <c r="GN96" s="174" t="s">
        <v>677</v>
      </c>
      <c r="HA96" s="174">
        <v>27</v>
      </c>
      <c r="HB96" s="197">
        <v>93</v>
      </c>
      <c r="HC96" s="194">
        <v>67</v>
      </c>
      <c r="HD96" s="238">
        <v>92</v>
      </c>
      <c r="HE96" s="236">
        <v>25</v>
      </c>
      <c r="HF96" s="183">
        <v>158</v>
      </c>
      <c r="HG96" s="193" t="e">
        <f t="shared" si="11"/>
        <v>#N/A</v>
      </c>
      <c r="HH96" s="192" t="e">
        <f t="shared" si="12"/>
        <v>#N/A</v>
      </c>
      <c r="HI96" s="198">
        <v>25</v>
      </c>
      <c r="HJ96" s="185">
        <v>136.5</v>
      </c>
      <c r="HK96" s="174">
        <v>94</v>
      </c>
      <c r="HL96" s="174">
        <v>412</v>
      </c>
      <c r="HM96" s="174">
        <v>436</v>
      </c>
      <c r="HN96" s="174">
        <v>352</v>
      </c>
      <c r="HO96" s="174">
        <v>214</v>
      </c>
      <c r="HP96" s="174">
        <v>204</v>
      </c>
      <c r="HQ96" s="174">
        <v>194</v>
      </c>
      <c r="HR96" s="174">
        <v>184</v>
      </c>
      <c r="HS96" s="174">
        <v>352</v>
      </c>
      <c r="HT96" s="174">
        <v>342</v>
      </c>
      <c r="HU96" s="174">
        <v>194</v>
      </c>
      <c r="HV96" s="174">
        <v>258</v>
      </c>
      <c r="HW96" s="174">
        <v>184</v>
      </c>
      <c r="HX96" s="174">
        <v>174</v>
      </c>
      <c r="HY96" s="174">
        <v>164</v>
      </c>
      <c r="HZ96" s="174">
        <v>154</v>
      </c>
      <c r="IA96" s="174">
        <v>248</v>
      </c>
      <c r="IB96" s="174">
        <v>228</v>
      </c>
      <c r="IC96" s="174">
        <v>154</v>
      </c>
      <c r="ID96" s="174">
        <v>124</v>
      </c>
      <c r="IE96" s="174">
        <v>104</v>
      </c>
      <c r="IF96" s="174">
        <v>96</v>
      </c>
      <c r="IM96" s="174">
        <v>4200000</v>
      </c>
      <c r="IN96" s="174">
        <v>94</v>
      </c>
    </row>
    <row r="97" spans="1:248" ht="13.35" customHeight="1" thickBot="1" x14ac:dyDescent="0.25">
      <c r="A97" s="183">
        <f t="shared" si="9"/>
        <v>96</v>
      </c>
      <c r="B97" s="184">
        <f t="shared" si="14"/>
        <v>8</v>
      </c>
      <c r="C97" s="183">
        <f t="shared" si="15"/>
        <v>126</v>
      </c>
      <c r="D97" s="174">
        <v>40</v>
      </c>
      <c r="E97" s="189" t="s">
        <v>750</v>
      </c>
      <c r="K97" s="174">
        <v>5</v>
      </c>
      <c r="L97" s="174">
        <v>5</v>
      </c>
      <c r="M97" s="174">
        <v>5</v>
      </c>
      <c r="N97" s="174">
        <v>5</v>
      </c>
      <c r="O97" s="174">
        <v>5</v>
      </c>
      <c r="P97" s="174">
        <v>5</v>
      </c>
      <c r="Q97" s="174">
        <v>5</v>
      </c>
      <c r="R97" s="174">
        <v>5</v>
      </c>
      <c r="S97" s="174">
        <v>5</v>
      </c>
      <c r="AA97" s="174">
        <v>5</v>
      </c>
      <c r="AB97" s="174">
        <v>5</v>
      </c>
      <c r="AD97" s="174">
        <v>5</v>
      </c>
      <c r="AF97" s="174">
        <v>5</v>
      </c>
      <c r="AG97" s="174">
        <v>5</v>
      </c>
      <c r="AK97" s="174">
        <v>5</v>
      </c>
      <c r="AL97" s="174">
        <v>5</v>
      </c>
      <c r="AM97" s="174">
        <v>5</v>
      </c>
      <c r="AO97" s="174">
        <v>5</v>
      </c>
      <c r="AP97" s="174">
        <v>5</v>
      </c>
      <c r="AS97" s="174">
        <v>5</v>
      </c>
      <c r="AT97" s="174">
        <v>5</v>
      </c>
      <c r="AU97" s="174">
        <v>5</v>
      </c>
      <c r="AV97" s="174">
        <v>5</v>
      </c>
      <c r="AW97" s="174">
        <v>5</v>
      </c>
      <c r="AX97" s="174">
        <v>5</v>
      </c>
      <c r="AY97" s="174">
        <v>5</v>
      </c>
      <c r="AZ97" s="174">
        <v>5</v>
      </c>
      <c r="BA97" s="174">
        <v>5</v>
      </c>
      <c r="BB97" s="174">
        <v>5</v>
      </c>
      <c r="BC97" s="174">
        <v>10</v>
      </c>
      <c r="BD97" s="174">
        <v>10</v>
      </c>
      <c r="BE97" s="174">
        <v>10</v>
      </c>
      <c r="BF97" s="174">
        <v>5</v>
      </c>
      <c r="BG97" s="174">
        <v>10</v>
      </c>
      <c r="BH97" s="174">
        <v>5</v>
      </c>
      <c r="BI97" s="174">
        <v>5</v>
      </c>
      <c r="BJ97" s="174">
        <v>5</v>
      </c>
      <c r="BK97" s="174">
        <v>5</v>
      </c>
      <c r="BL97" s="174">
        <v>5</v>
      </c>
      <c r="BM97" s="174">
        <v>5</v>
      </c>
      <c r="BN97" s="174">
        <v>5</v>
      </c>
      <c r="BO97" s="174">
        <v>5</v>
      </c>
      <c r="BP97" s="174">
        <v>5</v>
      </c>
      <c r="BQ97" s="174">
        <v>5</v>
      </c>
      <c r="BR97" s="174">
        <v>10</v>
      </c>
      <c r="BS97" s="174">
        <v>10</v>
      </c>
      <c r="BT97" s="174">
        <v>10</v>
      </c>
      <c r="BU97" s="174">
        <v>5</v>
      </c>
      <c r="BV97" s="174">
        <v>5</v>
      </c>
      <c r="BX97" s="174">
        <v>5</v>
      </c>
      <c r="BY97" s="174">
        <v>5</v>
      </c>
      <c r="BZ97" s="174">
        <v>5</v>
      </c>
      <c r="CA97" s="174">
        <v>5</v>
      </c>
      <c r="CB97" s="174">
        <v>5</v>
      </c>
      <c r="CC97" s="174">
        <v>5</v>
      </c>
      <c r="CD97" s="174">
        <v>5</v>
      </c>
      <c r="CE97" s="174">
        <v>10</v>
      </c>
      <c r="CF97" s="174">
        <v>5</v>
      </c>
      <c r="CG97" s="174">
        <v>5</v>
      </c>
      <c r="CH97" s="174">
        <v>5</v>
      </c>
      <c r="CI97" s="174">
        <v>5</v>
      </c>
      <c r="CJ97" s="174">
        <v>5</v>
      </c>
      <c r="CK97" s="174">
        <v>5</v>
      </c>
      <c r="CL97" s="174">
        <v>5</v>
      </c>
      <c r="CM97" s="174">
        <v>5</v>
      </c>
      <c r="CN97" s="174">
        <v>5</v>
      </c>
      <c r="CO97" s="174">
        <v>5</v>
      </c>
      <c r="CP97" s="174">
        <v>5</v>
      </c>
      <c r="CQ97" s="174">
        <v>5</v>
      </c>
      <c r="CX97" s="174">
        <v>5</v>
      </c>
      <c r="CY97" s="174">
        <v>5</v>
      </c>
      <c r="CZ97" s="174">
        <v>5</v>
      </c>
      <c r="DB97" s="174">
        <v>5</v>
      </c>
      <c r="DC97" s="174">
        <v>5</v>
      </c>
      <c r="DD97" s="174">
        <v>5</v>
      </c>
      <c r="DH97" s="174">
        <v>4</v>
      </c>
      <c r="DI97" s="174">
        <f>Skills!$K$4</f>
        <v>-24.509999999999998</v>
      </c>
      <c r="DS97" s="174">
        <v>4</v>
      </c>
      <c r="DT97" s="174">
        <f>Skills!$K$4</f>
        <v>-24.509999999999998</v>
      </c>
      <c r="EE97" s="203">
        <v>1.1208000000000011</v>
      </c>
      <c r="EF97" s="174">
        <v>-25</v>
      </c>
      <c r="EH97" s="174">
        <v>27.001000000000001</v>
      </c>
      <c r="EI97" s="174">
        <v>-216</v>
      </c>
      <c r="EO97" s="174" t="s">
        <v>606</v>
      </c>
      <c r="EP97" s="174" t="s">
        <v>606</v>
      </c>
      <c r="ER97" s="174" t="s">
        <v>621</v>
      </c>
      <c r="ES97" s="174" t="s">
        <v>621</v>
      </c>
      <c r="ET97" s="174" t="s">
        <v>422</v>
      </c>
      <c r="EU97" s="174" t="s">
        <v>621</v>
      </c>
      <c r="EV97" s="174" t="s">
        <v>433</v>
      </c>
      <c r="EW97" s="174" t="s">
        <v>433</v>
      </c>
      <c r="EX97" s="174" t="s">
        <v>433</v>
      </c>
      <c r="EY97" s="174" t="s">
        <v>621</v>
      </c>
      <c r="EZ97" s="174" t="s">
        <v>621</v>
      </c>
      <c r="FA97" s="174" t="s">
        <v>621</v>
      </c>
      <c r="FC97" s="174" t="s">
        <v>1307</v>
      </c>
      <c r="FD97" s="174" t="s">
        <v>1129</v>
      </c>
      <c r="FE97" s="174" t="s">
        <v>677</v>
      </c>
      <c r="FF97" s="174" t="s">
        <v>471</v>
      </c>
      <c r="FG97" s="174" t="s">
        <v>1356</v>
      </c>
      <c r="FH97" s="174" t="s">
        <v>677</v>
      </c>
      <c r="FI97" s="174" t="s">
        <v>554</v>
      </c>
      <c r="FL97" s="174" t="s">
        <v>1141</v>
      </c>
      <c r="FN97" s="174" t="s">
        <v>616</v>
      </c>
      <c r="FO97" s="174" t="s">
        <v>1357</v>
      </c>
      <c r="FQ97" s="174" t="s">
        <v>1135</v>
      </c>
      <c r="FR97" s="174" t="s">
        <v>1135</v>
      </c>
      <c r="FS97" s="174" t="s">
        <v>1307</v>
      </c>
      <c r="FT97" s="174" t="s">
        <v>1307</v>
      </c>
      <c r="FU97" s="174" t="s">
        <v>1307</v>
      </c>
      <c r="FV97" s="174" t="s">
        <v>1301</v>
      </c>
      <c r="FW97" s="174" t="s">
        <v>472</v>
      </c>
      <c r="FX97" s="174" t="s">
        <v>471</v>
      </c>
      <c r="FY97" s="174" t="s">
        <v>675</v>
      </c>
      <c r="FZ97" s="174" t="s">
        <v>606</v>
      </c>
      <c r="GA97" s="174" t="s">
        <v>1307</v>
      </c>
      <c r="GB97" s="174" t="s">
        <v>677</v>
      </c>
      <c r="GC97" s="174" t="s">
        <v>1307</v>
      </c>
      <c r="GD97" s="174" t="s">
        <v>677</v>
      </c>
      <c r="GE97" s="174" t="s">
        <v>677</v>
      </c>
      <c r="GF97" s="174" t="s">
        <v>677</v>
      </c>
      <c r="GG97" s="174" t="s">
        <v>1307</v>
      </c>
      <c r="GH97" s="174" t="s">
        <v>677</v>
      </c>
      <c r="GL97" s="174" t="s">
        <v>1132</v>
      </c>
      <c r="GM97" s="174" t="s">
        <v>616</v>
      </c>
      <c r="GN97" s="174" t="s">
        <v>1349</v>
      </c>
      <c r="HA97" s="174">
        <v>28</v>
      </c>
      <c r="HB97" s="197">
        <v>94</v>
      </c>
      <c r="HC97" s="194">
        <v>67</v>
      </c>
      <c r="HD97" s="238">
        <v>92</v>
      </c>
      <c r="HE97" s="236">
        <v>25</v>
      </c>
      <c r="HF97" s="183">
        <v>159</v>
      </c>
      <c r="HG97" s="193" t="e">
        <f t="shared" si="11"/>
        <v>#N/A</v>
      </c>
      <c r="HH97" s="192" t="e">
        <f t="shared" si="12"/>
        <v>#N/A</v>
      </c>
      <c r="HI97" s="198">
        <v>25</v>
      </c>
      <c r="HJ97" s="185">
        <v>137</v>
      </c>
      <c r="HK97" s="174">
        <v>95</v>
      </c>
      <c r="HL97" s="174">
        <v>415</v>
      </c>
      <c r="HM97" s="174">
        <v>440</v>
      </c>
      <c r="HN97" s="174">
        <v>355</v>
      </c>
      <c r="HO97" s="174">
        <v>215</v>
      </c>
      <c r="HP97" s="174">
        <v>205</v>
      </c>
      <c r="HQ97" s="174">
        <v>195</v>
      </c>
      <c r="HR97" s="174">
        <v>185</v>
      </c>
      <c r="HS97" s="174">
        <v>355</v>
      </c>
      <c r="HT97" s="174">
        <v>345</v>
      </c>
      <c r="HU97" s="174">
        <v>195</v>
      </c>
      <c r="HV97" s="174">
        <v>260</v>
      </c>
      <c r="HW97" s="174">
        <v>185</v>
      </c>
      <c r="HX97" s="174">
        <v>175</v>
      </c>
      <c r="HY97" s="174">
        <v>165</v>
      </c>
      <c r="HZ97" s="174">
        <v>155</v>
      </c>
      <c r="IA97" s="174">
        <v>250</v>
      </c>
      <c r="IB97" s="174">
        <v>230</v>
      </c>
      <c r="IC97" s="174">
        <v>155</v>
      </c>
      <c r="ID97" s="174">
        <v>125</v>
      </c>
      <c r="IE97" s="174">
        <v>105</v>
      </c>
      <c r="IF97" s="174">
        <v>97</v>
      </c>
      <c r="IM97" s="174">
        <v>4250000</v>
      </c>
      <c r="IN97" s="174">
        <v>95</v>
      </c>
    </row>
    <row r="98" spans="1:248" ht="13.35" customHeight="1" thickBot="1" x14ac:dyDescent="0.25">
      <c r="A98" s="183">
        <f t="shared" si="9"/>
        <v>97</v>
      </c>
      <c r="B98" s="184">
        <f t="shared" si="14"/>
        <v>8</v>
      </c>
      <c r="C98" s="183">
        <f t="shared" si="15"/>
        <v>139</v>
      </c>
      <c r="D98" s="174">
        <v>41</v>
      </c>
      <c r="E98" s="189" t="s">
        <v>752</v>
      </c>
      <c r="K98" s="174">
        <v>5</v>
      </c>
      <c r="L98" s="174">
        <v>5</v>
      </c>
      <c r="M98" s="174">
        <v>5</v>
      </c>
      <c r="N98" s="174">
        <v>5</v>
      </c>
      <c r="O98" s="174">
        <v>5</v>
      </c>
      <c r="P98" s="174">
        <v>5</v>
      </c>
      <c r="Q98" s="174">
        <v>5</v>
      </c>
      <c r="R98" s="174">
        <v>5</v>
      </c>
      <c r="S98" s="174">
        <v>5</v>
      </c>
      <c r="AA98" s="174">
        <v>5</v>
      </c>
      <c r="AB98" s="174">
        <v>5</v>
      </c>
      <c r="AD98" s="174">
        <v>5</v>
      </c>
      <c r="AF98" s="174">
        <v>5</v>
      </c>
      <c r="AG98" s="174">
        <v>5</v>
      </c>
      <c r="AK98" s="174">
        <v>5</v>
      </c>
      <c r="AL98" s="174">
        <v>5</v>
      </c>
      <c r="AM98" s="174">
        <v>5</v>
      </c>
      <c r="AO98" s="174">
        <v>5</v>
      </c>
      <c r="AP98" s="174">
        <v>5</v>
      </c>
      <c r="AS98" s="174">
        <v>5</v>
      </c>
      <c r="AT98" s="174">
        <v>5</v>
      </c>
      <c r="AU98" s="174">
        <v>5</v>
      </c>
      <c r="AV98" s="174">
        <v>5</v>
      </c>
      <c r="AW98" s="174">
        <v>5</v>
      </c>
      <c r="AX98" s="174">
        <v>5</v>
      </c>
      <c r="AY98" s="174">
        <v>5</v>
      </c>
      <c r="AZ98" s="174">
        <v>5</v>
      </c>
      <c r="BA98" s="174">
        <v>5</v>
      </c>
      <c r="BB98" s="174">
        <v>5</v>
      </c>
      <c r="BC98" s="174">
        <v>10</v>
      </c>
      <c r="BD98" s="174">
        <v>10</v>
      </c>
      <c r="BE98" s="174">
        <v>10</v>
      </c>
      <c r="BF98" s="174">
        <v>5</v>
      </c>
      <c r="BG98" s="174">
        <v>10</v>
      </c>
      <c r="BH98" s="174">
        <v>5</v>
      </c>
      <c r="BI98" s="174">
        <v>5</v>
      </c>
      <c r="BJ98" s="174">
        <v>5</v>
      </c>
      <c r="BK98" s="174">
        <v>5</v>
      </c>
      <c r="BL98" s="174">
        <v>5</v>
      </c>
      <c r="BM98" s="174">
        <v>5</v>
      </c>
      <c r="BN98" s="174">
        <v>5</v>
      </c>
      <c r="BO98" s="174">
        <v>5</v>
      </c>
      <c r="BP98" s="174">
        <v>5</v>
      </c>
      <c r="BQ98" s="174">
        <v>5</v>
      </c>
      <c r="BR98" s="174">
        <v>10</v>
      </c>
      <c r="BS98" s="174">
        <v>10</v>
      </c>
      <c r="BT98" s="174">
        <v>10</v>
      </c>
      <c r="BU98" s="174">
        <v>5</v>
      </c>
      <c r="BV98" s="174">
        <v>5</v>
      </c>
      <c r="BX98" s="174">
        <v>5</v>
      </c>
      <c r="BY98" s="174">
        <v>5</v>
      </c>
      <c r="BZ98" s="174">
        <v>5</v>
      </c>
      <c r="CA98" s="174">
        <v>5</v>
      </c>
      <c r="CB98" s="174">
        <v>5</v>
      </c>
      <c r="CC98" s="174">
        <v>5</v>
      </c>
      <c r="CD98" s="174">
        <v>5</v>
      </c>
      <c r="CE98" s="174">
        <v>10</v>
      </c>
      <c r="CF98" s="174">
        <v>5</v>
      </c>
      <c r="CG98" s="174">
        <v>5</v>
      </c>
      <c r="CH98" s="174">
        <v>5</v>
      </c>
      <c r="CI98" s="174">
        <v>5</v>
      </c>
      <c r="CJ98" s="174">
        <v>5</v>
      </c>
      <c r="CK98" s="174">
        <v>5</v>
      </c>
      <c r="CL98" s="174">
        <v>5</v>
      </c>
      <c r="CM98" s="174">
        <v>5</v>
      </c>
      <c r="CN98" s="174">
        <v>5</v>
      </c>
      <c r="CO98" s="174">
        <v>5</v>
      </c>
      <c r="CP98" s="174">
        <v>5</v>
      </c>
      <c r="CQ98" s="174">
        <v>5</v>
      </c>
      <c r="CX98" s="174">
        <v>5</v>
      </c>
      <c r="CY98" s="174">
        <v>5</v>
      </c>
      <c r="CZ98" s="174">
        <v>5</v>
      </c>
      <c r="DB98" s="174">
        <v>5</v>
      </c>
      <c r="DC98" s="174">
        <v>5</v>
      </c>
      <c r="DD98" s="174">
        <v>5</v>
      </c>
      <c r="EE98" s="203">
        <v>1.1462000000000012</v>
      </c>
      <c r="EF98" s="174">
        <v>-25</v>
      </c>
      <c r="EH98" s="174">
        <v>28.001000000000001</v>
      </c>
      <c r="EI98" s="174">
        <v>-224</v>
      </c>
      <c r="EO98" s="174" t="s">
        <v>449</v>
      </c>
      <c r="EP98" s="174" t="s">
        <v>449</v>
      </c>
      <c r="ER98" s="174" t="s">
        <v>1334</v>
      </c>
      <c r="ES98" s="174" t="s">
        <v>1334</v>
      </c>
      <c r="ET98" s="174" t="s">
        <v>471</v>
      </c>
      <c r="EU98" s="174" t="s">
        <v>1334</v>
      </c>
      <c r="EV98" s="174" t="s">
        <v>554</v>
      </c>
      <c r="EW98" s="174" t="s">
        <v>524</v>
      </c>
      <c r="EX98" s="174" t="s">
        <v>524</v>
      </c>
      <c r="EY98" s="174" t="s">
        <v>1334</v>
      </c>
      <c r="EZ98" s="174" t="s">
        <v>1334</v>
      </c>
      <c r="FA98" s="174" t="s">
        <v>1334</v>
      </c>
      <c r="FC98" s="174" t="s">
        <v>616</v>
      </c>
      <c r="FD98" s="174" t="s">
        <v>469</v>
      </c>
      <c r="FE98" s="174" t="s">
        <v>1307</v>
      </c>
      <c r="FF98" s="174" t="s">
        <v>472</v>
      </c>
      <c r="FG98" s="174" t="s">
        <v>510</v>
      </c>
      <c r="FH98" s="174" t="s">
        <v>452</v>
      </c>
      <c r="FI98" s="174" t="s">
        <v>1339</v>
      </c>
      <c r="FN98" s="174" t="s">
        <v>1141</v>
      </c>
      <c r="FO98" s="174" t="s">
        <v>491</v>
      </c>
      <c r="FQ98" s="174" t="s">
        <v>1358</v>
      </c>
      <c r="FR98" s="174" t="s">
        <v>1358</v>
      </c>
      <c r="FS98" s="174" t="s">
        <v>1359</v>
      </c>
      <c r="FT98" s="174" t="s">
        <v>1359</v>
      </c>
      <c r="FU98" s="174" t="s">
        <v>1359</v>
      </c>
      <c r="FV98" s="174" t="s">
        <v>560</v>
      </c>
      <c r="FW98" s="174" t="s">
        <v>471</v>
      </c>
      <c r="FX98" s="174" t="s">
        <v>491</v>
      </c>
      <c r="FY98" s="174" t="s">
        <v>677</v>
      </c>
      <c r="FZ98" s="174" t="s">
        <v>422</v>
      </c>
      <c r="GA98" s="174" t="s">
        <v>1349</v>
      </c>
      <c r="GB98" s="174" t="s">
        <v>1307</v>
      </c>
      <c r="GC98" s="174" t="s">
        <v>1349</v>
      </c>
      <c r="GD98" s="174" t="s">
        <v>1307</v>
      </c>
      <c r="GE98" s="174" t="s">
        <v>1307</v>
      </c>
      <c r="GF98" s="174" t="s">
        <v>1307</v>
      </c>
      <c r="GG98" s="174" t="s">
        <v>1349</v>
      </c>
      <c r="GH98" s="174" t="s">
        <v>1307</v>
      </c>
      <c r="GL98" s="174" t="s">
        <v>616</v>
      </c>
      <c r="GM98" s="174" t="s">
        <v>1141</v>
      </c>
      <c r="GN98" s="174" t="s">
        <v>1360</v>
      </c>
      <c r="HA98" s="174">
        <v>29</v>
      </c>
      <c r="HB98" s="197">
        <v>95</v>
      </c>
      <c r="HC98" s="194">
        <v>68</v>
      </c>
      <c r="HD98" s="238">
        <v>93</v>
      </c>
      <c r="HE98" s="236">
        <v>25</v>
      </c>
      <c r="HF98" s="183">
        <v>160</v>
      </c>
      <c r="HG98" s="193" t="e">
        <f t="shared" si="11"/>
        <v>#N/A</v>
      </c>
      <c r="HH98" s="192" t="e">
        <f t="shared" si="12"/>
        <v>#N/A</v>
      </c>
      <c r="HI98" s="198">
        <v>25</v>
      </c>
      <c r="HJ98" s="185">
        <v>137.5</v>
      </c>
      <c r="HK98" s="174">
        <v>96</v>
      </c>
      <c r="HL98" s="174">
        <v>418</v>
      </c>
      <c r="HM98" s="174">
        <v>444</v>
      </c>
      <c r="HN98" s="174">
        <v>358</v>
      </c>
      <c r="HO98" s="174">
        <v>216</v>
      </c>
      <c r="HP98" s="174">
        <v>206</v>
      </c>
      <c r="HQ98" s="174">
        <v>196</v>
      </c>
      <c r="HR98" s="174">
        <v>186</v>
      </c>
      <c r="HS98" s="174">
        <v>358</v>
      </c>
      <c r="HT98" s="174">
        <v>348</v>
      </c>
      <c r="HU98" s="174">
        <v>196</v>
      </c>
      <c r="HV98" s="174">
        <v>262</v>
      </c>
      <c r="HW98" s="174">
        <v>186</v>
      </c>
      <c r="HX98" s="174">
        <v>176</v>
      </c>
      <c r="HY98" s="174">
        <v>166</v>
      </c>
      <c r="HZ98" s="174">
        <v>156</v>
      </c>
      <c r="IA98" s="174">
        <v>252</v>
      </c>
      <c r="IB98" s="174">
        <v>232</v>
      </c>
      <c r="IC98" s="174">
        <v>156</v>
      </c>
      <c r="ID98" s="174">
        <v>126</v>
      </c>
      <c r="IE98" s="174">
        <v>106</v>
      </c>
      <c r="IF98" s="174">
        <v>98</v>
      </c>
      <c r="IM98" s="174">
        <v>4300000</v>
      </c>
      <c r="IN98" s="174">
        <v>96</v>
      </c>
    </row>
    <row r="99" spans="1:248" ht="13.35" customHeight="1" thickBot="1" x14ac:dyDescent="0.25">
      <c r="A99" s="183">
        <f t="shared" si="9"/>
        <v>98</v>
      </c>
      <c r="B99" s="184">
        <f t="shared" si="14"/>
        <v>9</v>
      </c>
      <c r="C99" s="183">
        <f t="shared" si="15"/>
        <v>154</v>
      </c>
      <c r="D99" s="174">
        <v>42</v>
      </c>
      <c r="E99" s="189" t="s">
        <v>754</v>
      </c>
      <c r="K99" s="174">
        <v>5</v>
      </c>
      <c r="L99" s="174">
        <v>5</v>
      </c>
      <c r="M99" s="174">
        <v>5</v>
      </c>
      <c r="N99" s="174">
        <v>5</v>
      </c>
      <c r="O99" s="174">
        <v>5</v>
      </c>
      <c r="P99" s="174">
        <v>5</v>
      </c>
      <c r="Q99" s="174">
        <v>5</v>
      </c>
      <c r="R99" s="174">
        <v>5</v>
      </c>
      <c r="S99" s="174">
        <v>5</v>
      </c>
      <c r="AA99" s="174">
        <v>5</v>
      </c>
      <c r="AB99" s="174">
        <v>5</v>
      </c>
      <c r="AD99" s="174">
        <v>5</v>
      </c>
      <c r="AF99" s="174">
        <v>5</v>
      </c>
      <c r="AG99" s="174">
        <v>5</v>
      </c>
      <c r="AK99" s="174">
        <v>5</v>
      </c>
      <c r="AL99" s="174">
        <v>5</v>
      </c>
      <c r="AM99" s="174">
        <v>5</v>
      </c>
      <c r="AO99" s="174">
        <v>5</v>
      </c>
      <c r="AP99" s="174">
        <v>5</v>
      </c>
      <c r="AS99" s="174">
        <v>5</v>
      </c>
      <c r="AT99" s="174">
        <v>5</v>
      </c>
      <c r="AU99" s="174">
        <v>5</v>
      </c>
      <c r="AV99" s="174">
        <v>5</v>
      </c>
      <c r="AW99" s="174">
        <v>5</v>
      </c>
      <c r="AX99" s="174">
        <v>5</v>
      </c>
      <c r="AY99" s="174">
        <v>5</v>
      </c>
      <c r="AZ99" s="174">
        <v>5</v>
      </c>
      <c r="BA99" s="174">
        <v>5</v>
      </c>
      <c r="BB99" s="174">
        <v>5</v>
      </c>
      <c r="BC99" s="174">
        <v>10</v>
      </c>
      <c r="BD99" s="174">
        <v>10</v>
      </c>
      <c r="BE99" s="174">
        <v>10</v>
      </c>
      <c r="BF99" s="174">
        <v>5</v>
      </c>
      <c r="BG99" s="174">
        <v>10</v>
      </c>
      <c r="BH99" s="174">
        <v>5</v>
      </c>
      <c r="BI99" s="174">
        <v>5</v>
      </c>
      <c r="BJ99" s="174">
        <v>5</v>
      </c>
      <c r="BK99" s="174">
        <v>5</v>
      </c>
      <c r="BL99" s="174">
        <v>5</v>
      </c>
      <c r="BM99" s="174">
        <v>5</v>
      </c>
      <c r="BN99" s="174">
        <v>5</v>
      </c>
      <c r="BO99" s="174">
        <v>5</v>
      </c>
      <c r="BP99" s="174">
        <v>5</v>
      </c>
      <c r="BQ99" s="174">
        <v>5</v>
      </c>
      <c r="BR99" s="174">
        <v>10</v>
      </c>
      <c r="BS99" s="174">
        <v>10</v>
      </c>
      <c r="BT99" s="174">
        <v>10</v>
      </c>
      <c r="BU99" s="174">
        <v>5</v>
      </c>
      <c r="BV99" s="174">
        <v>5</v>
      </c>
      <c r="BX99" s="174">
        <v>5</v>
      </c>
      <c r="BY99" s="174">
        <v>5</v>
      </c>
      <c r="BZ99" s="174">
        <v>5</v>
      </c>
      <c r="CA99" s="174">
        <v>5</v>
      </c>
      <c r="CB99" s="174">
        <v>5</v>
      </c>
      <c r="CC99" s="174">
        <v>5</v>
      </c>
      <c r="CD99" s="174">
        <v>5</v>
      </c>
      <c r="CE99" s="174">
        <v>10</v>
      </c>
      <c r="CF99" s="174">
        <v>5</v>
      </c>
      <c r="CG99" s="174">
        <v>5</v>
      </c>
      <c r="CH99" s="174">
        <v>5</v>
      </c>
      <c r="CI99" s="174">
        <v>5</v>
      </c>
      <c r="CJ99" s="174">
        <v>5</v>
      </c>
      <c r="CK99" s="174">
        <v>5</v>
      </c>
      <c r="CL99" s="174">
        <v>5</v>
      </c>
      <c r="CM99" s="174">
        <v>5</v>
      </c>
      <c r="CN99" s="174">
        <v>5</v>
      </c>
      <c r="CO99" s="174">
        <v>5</v>
      </c>
      <c r="CP99" s="174">
        <v>5</v>
      </c>
      <c r="CQ99" s="174">
        <v>5</v>
      </c>
      <c r="CX99" s="174">
        <v>5</v>
      </c>
      <c r="CY99" s="174">
        <v>5</v>
      </c>
      <c r="CZ99" s="174">
        <v>5</v>
      </c>
      <c r="DB99" s="174">
        <v>5</v>
      </c>
      <c r="DC99" s="174">
        <v>5</v>
      </c>
      <c r="DD99" s="174">
        <v>5</v>
      </c>
      <c r="EE99" s="203">
        <v>1.1716000000000013</v>
      </c>
      <c r="EF99" s="174">
        <v>-20</v>
      </c>
      <c r="EH99" s="174">
        <v>29.001000000000001</v>
      </c>
      <c r="EI99" s="174">
        <v>-232</v>
      </c>
      <c r="EO99" s="174" t="s">
        <v>422</v>
      </c>
      <c r="EP99" s="174" t="s">
        <v>422</v>
      </c>
      <c r="ER99" s="174" t="s">
        <v>606</v>
      </c>
      <c r="ES99" s="174" t="s">
        <v>606</v>
      </c>
      <c r="ET99" s="174" t="s">
        <v>472</v>
      </c>
      <c r="EU99" s="174" t="s">
        <v>606</v>
      </c>
      <c r="EV99" s="174" t="s">
        <v>524</v>
      </c>
      <c r="EW99" s="174" t="s">
        <v>1310</v>
      </c>
      <c r="EX99" s="174" t="s">
        <v>1310</v>
      </c>
      <c r="EY99" s="174" t="s">
        <v>606</v>
      </c>
      <c r="EZ99" s="174" t="s">
        <v>606</v>
      </c>
      <c r="FA99" s="174" t="s">
        <v>606</v>
      </c>
      <c r="FC99" s="174" t="s">
        <v>1232</v>
      </c>
      <c r="FD99" s="174" t="s">
        <v>536</v>
      </c>
      <c r="FE99" s="174" t="s">
        <v>1361</v>
      </c>
      <c r="FF99" s="174" t="s">
        <v>450</v>
      </c>
      <c r="FG99" s="174" t="s">
        <v>553</v>
      </c>
      <c r="FH99" s="174" t="s">
        <v>423</v>
      </c>
      <c r="FI99" s="174" t="s">
        <v>471</v>
      </c>
      <c r="FO99" s="174" t="s">
        <v>1179</v>
      </c>
      <c r="FQ99" s="174" t="s">
        <v>530</v>
      </c>
      <c r="FR99" s="174" t="s">
        <v>530</v>
      </c>
      <c r="FS99" s="174" t="s">
        <v>423</v>
      </c>
      <c r="FT99" s="174" t="s">
        <v>423</v>
      </c>
      <c r="FU99" s="174" t="s">
        <v>423</v>
      </c>
      <c r="FV99" s="174" t="s">
        <v>1362</v>
      </c>
      <c r="FW99" s="174" t="s">
        <v>491</v>
      </c>
      <c r="FY99" s="174" t="s">
        <v>681</v>
      </c>
      <c r="FZ99" s="174" t="s">
        <v>450</v>
      </c>
      <c r="GA99" s="174" t="s">
        <v>423</v>
      </c>
      <c r="GB99" s="174" t="s">
        <v>1349</v>
      </c>
      <c r="GC99" s="174" t="s">
        <v>423</v>
      </c>
      <c r="GD99" s="174" t="s">
        <v>1349</v>
      </c>
      <c r="GE99" s="174" t="s">
        <v>1349</v>
      </c>
      <c r="GF99" s="174" t="s">
        <v>1349</v>
      </c>
      <c r="GG99" s="174" t="s">
        <v>423</v>
      </c>
      <c r="GH99" s="174" t="s">
        <v>1349</v>
      </c>
      <c r="GL99" s="174" t="s">
        <v>1363</v>
      </c>
      <c r="GN99" s="174" t="s">
        <v>491</v>
      </c>
      <c r="HA99" s="174">
        <v>30</v>
      </c>
      <c r="HB99" s="197">
        <v>96</v>
      </c>
      <c r="HC99" s="194">
        <v>68</v>
      </c>
      <c r="HD99" s="238">
        <v>93</v>
      </c>
      <c r="HE99" s="236">
        <v>25</v>
      </c>
      <c r="HF99" s="183">
        <v>161</v>
      </c>
      <c r="HG99" s="193" t="e">
        <f t="shared" si="11"/>
        <v>#N/A</v>
      </c>
      <c r="HH99" s="192" t="e">
        <f t="shared" si="12"/>
        <v>#N/A</v>
      </c>
      <c r="HI99" s="198">
        <v>25</v>
      </c>
      <c r="HJ99" s="185">
        <v>138</v>
      </c>
      <c r="HK99" s="174">
        <v>97</v>
      </c>
      <c r="HL99" s="174">
        <v>421</v>
      </c>
      <c r="HM99" s="174">
        <v>448</v>
      </c>
      <c r="HN99" s="174">
        <v>361</v>
      </c>
      <c r="HO99" s="174">
        <v>217</v>
      </c>
      <c r="HP99" s="174">
        <v>207</v>
      </c>
      <c r="HQ99" s="174">
        <v>197</v>
      </c>
      <c r="HR99" s="174">
        <v>187</v>
      </c>
      <c r="HS99" s="174">
        <v>361</v>
      </c>
      <c r="HT99" s="174">
        <v>351</v>
      </c>
      <c r="HU99" s="174">
        <v>197</v>
      </c>
      <c r="HV99" s="174">
        <v>264</v>
      </c>
      <c r="HW99" s="174">
        <v>187</v>
      </c>
      <c r="HX99" s="174">
        <v>177</v>
      </c>
      <c r="HY99" s="174">
        <v>167</v>
      </c>
      <c r="HZ99" s="174">
        <v>157</v>
      </c>
      <c r="IA99" s="174">
        <v>254</v>
      </c>
      <c r="IB99" s="174">
        <v>234</v>
      </c>
      <c r="IC99" s="174">
        <v>157</v>
      </c>
      <c r="ID99" s="174">
        <v>127</v>
      </c>
      <c r="IE99" s="174">
        <v>107</v>
      </c>
      <c r="IF99" s="174">
        <v>99</v>
      </c>
      <c r="IM99" s="174">
        <v>4350000</v>
      </c>
      <c r="IN99" s="174">
        <v>97</v>
      </c>
    </row>
    <row r="100" spans="1:248" ht="13.35" customHeight="1" thickBot="1" x14ac:dyDescent="0.25">
      <c r="A100" s="183">
        <f t="shared" si="9"/>
        <v>99</v>
      </c>
      <c r="B100" s="184">
        <f t="shared" si="14"/>
        <v>9</v>
      </c>
      <c r="C100" s="183">
        <f t="shared" si="15"/>
        <v>171</v>
      </c>
      <c r="D100" s="174">
        <v>43</v>
      </c>
      <c r="E100" s="189" t="s">
        <v>753</v>
      </c>
      <c r="K100" s="174">
        <v>5</v>
      </c>
      <c r="L100" s="174">
        <v>5</v>
      </c>
      <c r="M100" s="174">
        <v>5</v>
      </c>
      <c r="N100" s="174">
        <v>5</v>
      </c>
      <c r="O100" s="174">
        <v>5</v>
      </c>
      <c r="P100" s="174">
        <v>5</v>
      </c>
      <c r="Q100" s="174">
        <v>5</v>
      </c>
      <c r="R100" s="174">
        <v>5</v>
      </c>
      <c r="S100" s="174">
        <v>5</v>
      </c>
      <c r="AA100" s="174">
        <v>5</v>
      </c>
      <c r="AB100" s="174">
        <v>5</v>
      </c>
      <c r="AD100" s="174">
        <v>5</v>
      </c>
      <c r="AF100" s="174">
        <v>5</v>
      </c>
      <c r="AG100" s="174">
        <v>5</v>
      </c>
      <c r="AK100" s="174">
        <v>5</v>
      </c>
      <c r="AL100" s="174">
        <v>5</v>
      </c>
      <c r="AM100" s="174">
        <v>5</v>
      </c>
      <c r="AO100" s="174">
        <v>5</v>
      </c>
      <c r="AP100" s="174">
        <v>5</v>
      </c>
      <c r="AS100" s="174">
        <v>5</v>
      </c>
      <c r="AT100" s="174">
        <v>5</v>
      </c>
      <c r="AU100" s="174">
        <v>5</v>
      </c>
      <c r="AV100" s="174">
        <v>5</v>
      </c>
      <c r="AW100" s="174">
        <v>5</v>
      </c>
      <c r="AX100" s="174">
        <v>5</v>
      </c>
      <c r="AY100" s="174">
        <v>5</v>
      </c>
      <c r="AZ100" s="174">
        <v>5</v>
      </c>
      <c r="BA100" s="174">
        <v>5</v>
      </c>
      <c r="BB100" s="174">
        <v>5</v>
      </c>
      <c r="BC100" s="174">
        <v>10</v>
      </c>
      <c r="BD100" s="174">
        <v>10</v>
      </c>
      <c r="BE100" s="174">
        <v>10</v>
      </c>
      <c r="BF100" s="174">
        <v>5</v>
      </c>
      <c r="BG100" s="174">
        <v>10</v>
      </c>
      <c r="BH100" s="174">
        <v>5</v>
      </c>
      <c r="BI100" s="174">
        <v>5</v>
      </c>
      <c r="BJ100" s="174">
        <v>5</v>
      </c>
      <c r="BK100" s="174">
        <v>5</v>
      </c>
      <c r="BL100" s="174">
        <v>5</v>
      </c>
      <c r="BM100" s="174">
        <v>5</v>
      </c>
      <c r="BN100" s="174">
        <v>5</v>
      </c>
      <c r="BO100" s="174">
        <v>5</v>
      </c>
      <c r="BP100" s="174">
        <v>5</v>
      </c>
      <c r="BQ100" s="174">
        <v>5</v>
      </c>
      <c r="BR100" s="174">
        <v>10</v>
      </c>
      <c r="BS100" s="174">
        <v>10</v>
      </c>
      <c r="BT100" s="174">
        <v>10</v>
      </c>
      <c r="BU100" s="174">
        <v>5</v>
      </c>
      <c r="BV100" s="174">
        <v>5</v>
      </c>
      <c r="BX100" s="174">
        <v>5</v>
      </c>
      <c r="BY100" s="174">
        <v>5</v>
      </c>
      <c r="BZ100" s="174">
        <v>5</v>
      </c>
      <c r="CA100" s="174">
        <v>5</v>
      </c>
      <c r="CB100" s="174">
        <v>5</v>
      </c>
      <c r="CC100" s="174">
        <v>5</v>
      </c>
      <c r="CD100" s="174">
        <v>5</v>
      </c>
      <c r="CE100" s="174">
        <v>10</v>
      </c>
      <c r="CF100" s="174">
        <v>5</v>
      </c>
      <c r="CG100" s="174">
        <v>5</v>
      </c>
      <c r="CH100" s="174">
        <v>5</v>
      </c>
      <c r="CI100" s="174">
        <v>5</v>
      </c>
      <c r="CJ100" s="174">
        <v>5</v>
      </c>
      <c r="CK100" s="174">
        <v>5</v>
      </c>
      <c r="CL100" s="174">
        <v>5</v>
      </c>
      <c r="CM100" s="174">
        <v>5</v>
      </c>
      <c r="CN100" s="174">
        <v>5</v>
      </c>
      <c r="CO100" s="174">
        <v>5</v>
      </c>
      <c r="CP100" s="174">
        <v>5</v>
      </c>
      <c r="CQ100" s="174">
        <v>5</v>
      </c>
      <c r="CX100" s="174">
        <v>5</v>
      </c>
      <c r="CY100" s="174">
        <v>5</v>
      </c>
      <c r="CZ100" s="174">
        <v>5</v>
      </c>
      <c r="DB100" s="174">
        <v>5</v>
      </c>
      <c r="DC100" s="174">
        <v>5</v>
      </c>
      <c r="DD100" s="174">
        <v>5</v>
      </c>
      <c r="DH100" s="174" t="s">
        <v>1364</v>
      </c>
      <c r="EE100" s="203">
        <v>1.1970000000000014</v>
      </c>
      <c r="EF100" s="174">
        <v>-20</v>
      </c>
      <c r="EH100" s="174">
        <v>30.001000000000001</v>
      </c>
      <c r="EI100" s="174">
        <v>-240</v>
      </c>
      <c r="EO100" s="174" t="s">
        <v>1310</v>
      </c>
      <c r="EP100" s="174" t="s">
        <v>1310</v>
      </c>
      <c r="ER100" s="174" t="s">
        <v>433</v>
      </c>
      <c r="ES100" s="174" t="s">
        <v>433</v>
      </c>
      <c r="ET100" s="174" t="s">
        <v>450</v>
      </c>
      <c r="EU100" s="174" t="s">
        <v>433</v>
      </c>
      <c r="EV100" s="174" t="s">
        <v>1310</v>
      </c>
      <c r="EW100" s="174" t="s">
        <v>450</v>
      </c>
      <c r="EX100" s="174" t="s">
        <v>450</v>
      </c>
      <c r="EY100" s="174" t="s">
        <v>433</v>
      </c>
      <c r="EZ100" s="174" t="s">
        <v>433</v>
      </c>
      <c r="FA100" s="174" t="s">
        <v>433</v>
      </c>
      <c r="FD100" s="174" t="s">
        <v>524</v>
      </c>
      <c r="FE100" s="174" t="s">
        <v>452</v>
      </c>
      <c r="FF100" s="174" t="s">
        <v>677</v>
      </c>
      <c r="FG100" s="174" t="s">
        <v>487</v>
      </c>
      <c r="FH100" s="174" t="s">
        <v>491</v>
      </c>
      <c r="FI100" s="174" t="s">
        <v>472</v>
      </c>
      <c r="FO100" s="174" t="s">
        <v>1141</v>
      </c>
      <c r="FQ100" s="174" t="s">
        <v>551</v>
      </c>
      <c r="FR100" s="174" t="s">
        <v>551</v>
      </c>
      <c r="FS100" s="174" t="s">
        <v>491</v>
      </c>
      <c r="FT100" s="174" t="s">
        <v>491</v>
      </c>
      <c r="FU100" s="174" t="s">
        <v>491</v>
      </c>
      <c r="FV100" s="174" t="s">
        <v>472</v>
      </c>
      <c r="FY100" s="174" t="s">
        <v>685</v>
      </c>
      <c r="FZ100" s="174" t="s">
        <v>1310</v>
      </c>
      <c r="GA100" s="174" t="s">
        <v>1365</v>
      </c>
      <c r="GB100" s="174" t="s">
        <v>423</v>
      </c>
      <c r="GC100" s="174" t="s">
        <v>1365</v>
      </c>
      <c r="GD100" s="174" t="s">
        <v>423</v>
      </c>
      <c r="GE100" s="174" t="s">
        <v>423</v>
      </c>
      <c r="GF100" s="174" t="s">
        <v>423</v>
      </c>
      <c r="GG100" s="174" t="s">
        <v>1365</v>
      </c>
      <c r="GH100" s="174" t="s">
        <v>423</v>
      </c>
      <c r="GM100" s="174" t="s">
        <v>1366</v>
      </c>
      <c r="GN100" s="174" t="s">
        <v>678</v>
      </c>
      <c r="HA100" s="174">
        <v>31</v>
      </c>
      <c r="HB100" s="197">
        <v>97</v>
      </c>
      <c r="HC100" s="194">
        <v>69</v>
      </c>
      <c r="HD100" s="238">
        <v>94</v>
      </c>
      <c r="HE100" s="236">
        <v>25</v>
      </c>
      <c r="HF100" s="183">
        <v>162</v>
      </c>
      <c r="HG100" s="193" t="e">
        <f t="shared" si="11"/>
        <v>#N/A</v>
      </c>
      <c r="HH100" s="192" t="e">
        <f t="shared" si="12"/>
        <v>#N/A</v>
      </c>
      <c r="HI100" s="198">
        <v>25</v>
      </c>
      <c r="HJ100" s="185">
        <v>138.5</v>
      </c>
      <c r="HK100" s="174">
        <v>98</v>
      </c>
      <c r="HL100" s="174">
        <v>424</v>
      </c>
      <c r="HM100" s="174">
        <v>452</v>
      </c>
      <c r="HN100" s="174">
        <v>364</v>
      </c>
      <c r="HO100" s="174">
        <v>218</v>
      </c>
      <c r="HP100" s="174">
        <v>208</v>
      </c>
      <c r="HQ100" s="174">
        <v>198</v>
      </c>
      <c r="HR100" s="174">
        <v>188</v>
      </c>
      <c r="HS100" s="174">
        <v>364</v>
      </c>
      <c r="HT100" s="174">
        <v>354</v>
      </c>
      <c r="HU100" s="174">
        <v>198</v>
      </c>
      <c r="HV100" s="174">
        <v>266</v>
      </c>
      <c r="HW100" s="174">
        <v>188</v>
      </c>
      <c r="HX100" s="174">
        <v>178</v>
      </c>
      <c r="HY100" s="174">
        <v>168</v>
      </c>
      <c r="HZ100" s="174">
        <v>158</v>
      </c>
      <c r="IA100" s="174">
        <v>256</v>
      </c>
      <c r="IB100" s="174">
        <v>236</v>
      </c>
      <c r="IC100" s="174">
        <v>158</v>
      </c>
      <c r="ID100" s="174">
        <v>128</v>
      </c>
      <c r="IE100" s="174">
        <v>108</v>
      </c>
      <c r="IF100" s="174">
        <v>100</v>
      </c>
      <c r="IM100" s="174">
        <v>4400000</v>
      </c>
      <c r="IN100" s="174">
        <v>98</v>
      </c>
    </row>
    <row r="101" spans="1:248" ht="13.35" customHeight="1" thickBot="1" x14ac:dyDescent="0.25">
      <c r="A101" s="183">
        <f t="shared" si="9"/>
        <v>100</v>
      </c>
      <c r="B101" s="184">
        <f t="shared" si="14"/>
        <v>10</v>
      </c>
      <c r="C101" s="183">
        <f t="shared" si="15"/>
        <v>190</v>
      </c>
      <c r="D101" s="174">
        <v>44</v>
      </c>
      <c r="E101" s="189" t="s">
        <v>660</v>
      </c>
      <c r="G101" s="174">
        <v>15</v>
      </c>
      <c r="H101" s="174">
        <v>10</v>
      </c>
      <c r="W101" s="174">
        <v>5</v>
      </c>
      <c r="Y101" s="174">
        <v>5</v>
      </c>
      <c r="AD101" s="174">
        <v>5</v>
      </c>
      <c r="BB101" s="174">
        <v>15</v>
      </c>
      <c r="BE101" s="174">
        <v>5</v>
      </c>
      <c r="BJ101" s="174">
        <v>5</v>
      </c>
      <c r="BW101" s="174">
        <v>5</v>
      </c>
      <c r="DH101" s="174" t="s">
        <v>1367</v>
      </c>
      <c r="EE101" s="203">
        <v>1.2224000000000013</v>
      </c>
      <c r="EF101" s="174">
        <v>-20</v>
      </c>
      <c r="EO101" s="174" t="s">
        <v>450</v>
      </c>
      <c r="EP101" s="174" t="s">
        <v>450</v>
      </c>
      <c r="ER101" s="174" t="s">
        <v>554</v>
      </c>
      <c r="ES101" s="174" t="s">
        <v>554</v>
      </c>
      <c r="ET101" s="174" t="s">
        <v>677</v>
      </c>
      <c r="EU101" s="174" t="s">
        <v>554</v>
      </c>
      <c r="EV101" s="174" t="s">
        <v>450</v>
      </c>
      <c r="EW101" s="174" t="s">
        <v>677</v>
      </c>
      <c r="EX101" s="174" t="s">
        <v>677</v>
      </c>
      <c r="EY101" s="174" t="s">
        <v>554</v>
      </c>
      <c r="EZ101" s="174" t="s">
        <v>554</v>
      </c>
      <c r="FA101" s="174" t="s">
        <v>554</v>
      </c>
      <c r="FD101" s="174" t="s">
        <v>422</v>
      </c>
      <c r="FE101" s="174" t="s">
        <v>1232</v>
      </c>
      <c r="FF101" s="174" t="s">
        <v>1307</v>
      </c>
      <c r="FG101" s="174" t="s">
        <v>1368</v>
      </c>
      <c r="FH101" s="174" t="s">
        <v>616</v>
      </c>
      <c r="FI101" s="174" t="s">
        <v>1310</v>
      </c>
      <c r="FQ101" s="174" t="s">
        <v>547</v>
      </c>
      <c r="FR101" s="174" t="s">
        <v>547</v>
      </c>
      <c r="FS101" s="174" t="s">
        <v>616</v>
      </c>
      <c r="FT101" s="174" t="s">
        <v>616</v>
      </c>
      <c r="FU101" s="174" t="s">
        <v>616</v>
      </c>
      <c r="FV101" s="174" t="s">
        <v>471</v>
      </c>
      <c r="FY101" s="174" t="s">
        <v>472</v>
      </c>
      <c r="FZ101" s="174" t="s">
        <v>677</v>
      </c>
      <c r="GA101" s="174" t="s">
        <v>1369</v>
      </c>
      <c r="GB101" s="174" t="s">
        <v>1365</v>
      </c>
      <c r="GC101" s="174" t="s">
        <v>1369</v>
      </c>
      <c r="GD101" s="174" t="s">
        <v>1365</v>
      </c>
      <c r="GE101" s="174" t="s">
        <v>1365</v>
      </c>
      <c r="GF101" s="174" t="s">
        <v>1365</v>
      </c>
      <c r="GG101" s="174" t="s">
        <v>1369</v>
      </c>
      <c r="GH101" s="174" t="s">
        <v>1365</v>
      </c>
      <c r="GM101" s="174" t="s">
        <v>1370</v>
      </c>
      <c r="GN101" s="174" t="s">
        <v>1179</v>
      </c>
      <c r="HA101" s="174">
        <v>32</v>
      </c>
      <c r="HB101" s="197">
        <v>98</v>
      </c>
      <c r="HC101" s="194">
        <v>69</v>
      </c>
      <c r="HD101" s="238">
        <v>94</v>
      </c>
      <c r="HE101" s="236">
        <v>25</v>
      </c>
      <c r="HF101" s="183">
        <v>163</v>
      </c>
      <c r="HG101" s="193" t="e">
        <f t="shared" si="11"/>
        <v>#N/A</v>
      </c>
      <c r="HH101" s="192" t="e">
        <f t="shared" si="12"/>
        <v>#N/A</v>
      </c>
      <c r="HI101" s="198">
        <v>25</v>
      </c>
      <c r="HJ101" s="185">
        <v>139</v>
      </c>
      <c r="HK101" s="174">
        <v>99</v>
      </c>
      <c r="HL101" s="174">
        <v>427</v>
      </c>
      <c r="HM101" s="174">
        <v>456</v>
      </c>
      <c r="HN101" s="174">
        <v>367</v>
      </c>
      <c r="HO101" s="174">
        <v>219</v>
      </c>
      <c r="HP101" s="174">
        <v>209</v>
      </c>
      <c r="HQ101" s="174">
        <v>199</v>
      </c>
      <c r="HR101" s="174">
        <v>189</v>
      </c>
      <c r="HS101" s="174">
        <v>367</v>
      </c>
      <c r="HT101" s="174">
        <v>357</v>
      </c>
      <c r="HU101" s="174">
        <v>199</v>
      </c>
      <c r="HV101" s="174">
        <v>268</v>
      </c>
      <c r="HW101" s="174">
        <v>189</v>
      </c>
      <c r="HX101" s="174">
        <v>179</v>
      </c>
      <c r="HY101" s="174">
        <v>169</v>
      </c>
      <c r="HZ101" s="174">
        <v>159</v>
      </c>
      <c r="IA101" s="174">
        <v>258</v>
      </c>
      <c r="IB101" s="174">
        <v>238</v>
      </c>
      <c r="IC101" s="174">
        <v>159</v>
      </c>
      <c r="ID101" s="174">
        <v>129</v>
      </c>
      <c r="IE101" s="174">
        <v>109</v>
      </c>
      <c r="IF101" s="174">
        <v>101</v>
      </c>
      <c r="IM101" s="174">
        <v>4450000</v>
      </c>
      <c r="IN101" s="174">
        <v>99</v>
      </c>
    </row>
    <row r="102" spans="1:248" ht="13.35" customHeight="1" thickBot="1" x14ac:dyDescent="0.25">
      <c r="A102" s="183">
        <f t="shared" si="9"/>
        <v>101</v>
      </c>
      <c r="B102" s="184">
        <f t="shared" ref="B102:B151" si="16">ROUND((A102-95)*2,0)</f>
        <v>12</v>
      </c>
      <c r="C102" s="183">
        <f t="shared" si="15"/>
        <v>211</v>
      </c>
      <c r="D102" s="174">
        <v>45</v>
      </c>
      <c r="E102" s="189" t="s">
        <v>663</v>
      </c>
      <c r="G102" s="174">
        <v>15</v>
      </c>
      <c r="H102" s="174">
        <v>10</v>
      </c>
      <c r="W102" s="174">
        <v>5</v>
      </c>
      <c r="Y102" s="174">
        <v>5</v>
      </c>
      <c r="AD102" s="174">
        <v>5</v>
      </c>
      <c r="BB102" s="174">
        <v>15</v>
      </c>
      <c r="BE102" s="174">
        <v>5</v>
      </c>
      <c r="BJ102" s="174">
        <v>5</v>
      </c>
      <c r="BW102" s="174">
        <v>5</v>
      </c>
      <c r="EE102" s="203">
        <v>1.2478000000000014</v>
      </c>
      <c r="EF102" s="174">
        <v>-20</v>
      </c>
      <c r="EO102" s="174" t="s">
        <v>677</v>
      </c>
      <c r="EP102" s="174" t="s">
        <v>677</v>
      </c>
      <c r="ER102" s="174" t="s">
        <v>1339</v>
      </c>
      <c r="ES102" s="174" t="s">
        <v>1339</v>
      </c>
      <c r="ET102" s="174" t="s">
        <v>1307</v>
      </c>
      <c r="EU102" s="174" t="s">
        <v>1339</v>
      </c>
      <c r="EV102" s="174" t="s">
        <v>677</v>
      </c>
      <c r="EW102" s="174" t="s">
        <v>1307</v>
      </c>
      <c r="EX102" s="174" t="s">
        <v>1307</v>
      </c>
      <c r="EY102" s="174" t="s">
        <v>1339</v>
      </c>
      <c r="EZ102" s="174" t="s">
        <v>1339</v>
      </c>
      <c r="FA102" s="174" t="s">
        <v>1339</v>
      </c>
      <c r="FD102" s="174" t="s">
        <v>471</v>
      </c>
      <c r="FE102" s="174" t="s">
        <v>1371</v>
      </c>
      <c r="FF102" s="174" t="s">
        <v>452</v>
      </c>
      <c r="FG102" s="174" t="s">
        <v>524</v>
      </c>
      <c r="FH102" s="174" t="s">
        <v>1141</v>
      </c>
      <c r="FI102" s="174" t="s">
        <v>677</v>
      </c>
      <c r="FQ102" s="174" t="s">
        <v>560</v>
      </c>
      <c r="FR102" s="174" t="s">
        <v>560</v>
      </c>
      <c r="FS102" s="174" t="s">
        <v>1372</v>
      </c>
      <c r="FT102" s="174" t="s">
        <v>1372</v>
      </c>
      <c r="FU102" s="174" t="s">
        <v>1372</v>
      </c>
      <c r="FY102" s="174" t="s">
        <v>471</v>
      </c>
      <c r="FZ102" s="174" t="s">
        <v>423</v>
      </c>
      <c r="GA102" s="174" t="s">
        <v>491</v>
      </c>
      <c r="GB102" s="174" t="s">
        <v>1369</v>
      </c>
      <c r="GC102" s="174" t="s">
        <v>491</v>
      </c>
      <c r="GD102" s="174" t="s">
        <v>1369</v>
      </c>
      <c r="GE102" s="174" t="s">
        <v>1369</v>
      </c>
      <c r="GF102" s="174" t="s">
        <v>1369</v>
      </c>
      <c r="GG102" s="174" t="s">
        <v>491</v>
      </c>
      <c r="GH102" s="174" t="s">
        <v>1369</v>
      </c>
      <c r="GM102" s="174" t="s">
        <v>1373</v>
      </c>
      <c r="GN102" s="174" t="s">
        <v>1141</v>
      </c>
      <c r="HA102" s="174">
        <v>33</v>
      </c>
      <c r="HB102" s="197">
        <v>99</v>
      </c>
      <c r="HC102" s="194">
        <v>70</v>
      </c>
      <c r="HD102" s="238">
        <v>95</v>
      </c>
      <c r="HE102" s="236">
        <v>25</v>
      </c>
      <c r="HF102" s="183">
        <v>164</v>
      </c>
      <c r="HG102" s="193" t="e">
        <f t="shared" si="11"/>
        <v>#N/A</v>
      </c>
      <c r="HH102" s="192" t="e">
        <f t="shared" si="12"/>
        <v>#N/A</v>
      </c>
      <c r="HI102" s="198">
        <v>25</v>
      </c>
      <c r="HJ102" s="185">
        <v>139.5</v>
      </c>
      <c r="HK102" s="182">
        <v>100</v>
      </c>
      <c r="HL102" s="182">
        <v>430</v>
      </c>
      <c r="HM102" s="182">
        <v>460</v>
      </c>
      <c r="HN102" s="182">
        <v>370</v>
      </c>
      <c r="HO102" s="182">
        <v>220</v>
      </c>
      <c r="HP102" s="182">
        <v>210</v>
      </c>
      <c r="HQ102" s="182">
        <v>200</v>
      </c>
      <c r="HR102" s="182">
        <v>190</v>
      </c>
      <c r="HS102" s="174">
        <v>370</v>
      </c>
      <c r="HT102" s="174">
        <v>360</v>
      </c>
      <c r="HU102" s="182">
        <v>200</v>
      </c>
      <c r="HV102" s="182">
        <v>270</v>
      </c>
      <c r="HW102" s="182">
        <v>190</v>
      </c>
      <c r="HX102" s="182">
        <v>180</v>
      </c>
      <c r="HY102" s="182">
        <v>170</v>
      </c>
      <c r="HZ102" s="182">
        <v>160</v>
      </c>
      <c r="IA102" s="174">
        <v>260</v>
      </c>
      <c r="IB102" s="182">
        <v>240</v>
      </c>
      <c r="IC102" s="182">
        <v>160</v>
      </c>
      <c r="ID102" s="182">
        <v>130</v>
      </c>
      <c r="IE102" s="182">
        <v>110</v>
      </c>
      <c r="IF102" s="182">
        <v>102</v>
      </c>
      <c r="IM102" s="174">
        <v>4500000</v>
      </c>
      <c r="IN102" s="174">
        <v>100</v>
      </c>
    </row>
    <row r="103" spans="1:248" ht="13.35" customHeight="1" thickBot="1" x14ac:dyDescent="0.25">
      <c r="A103" s="183">
        <f t="shared" si="9"/>
        <v>102</v>
      </c>
      <c r="B103" s="184">
        <f t="shared" si="16"/>
        <v>14</v>
      </c>
      <c r="C103" s="183">
        <f t="shared" si="15"/>
        <v>234</v>
      </c>
      <c r="D103" s="174">
        <v>46</v>
      </c>
      <c r="E103" s="189" t="s">
        <v>674</v>
      </c>
      <c r="G103" s="174">
        <v>15</v>
      </c>
      <c r="H103" s="174">
        <v>10</v>
      </c>
      <c r="R103" s="174">
        <v>5</v>
      </c>
      <c r="T103" s="174">
        <v>5</v>
      </c>
      <c r="V103" s="174">
        <v>5</v>
      </c>
      <c r="W103" s="174">
        <v>5</v>
      </c>
      <c r="Y103" s="174">
        <v>5</v>
      </c>
      <c r="AD103" s="174">
        <v>5</v>
      </c>
      <c r="AK103" s="174">
        <v>5</v>
      </c>
      <c r="AQ103" s="174">
        <v>10</v>
      </c>
      <c r="AU103" s="174">
        <v>5</v>
      </c>
      <c r="BB103" s="174">
        <v>15</v>
      </c>
      <c r="BE103" s="174">
        <v>5</v>
      </c>
      <c r="BJ103" s="174">
        <v>5</v>
      </c>
      <c r="BW103" s="174">
        <v>5</v>
      </c>
      <c r="CS103" s="174">
        <v>5</v>
      </c>
      <c r="CT103" s="174">
        <v>10</v>
      </c>
      <c r="DA103" s="174">
        <v>5</v>
      </c>
      <c r="EE103" s="203">
        <v>1.2732000000000014</v>
      </c>
      <c r="EF103" s="174">
        <v>-20</v>
      </c>
      <c r="EO103" s="174" t="s">
        <v>1307</v>
      </c>
      <c r="EP103" s="174" t="s">
        <v>1307</v>
      </c>
      <c r="ER103" s="174" t="s">
        <v>422</v>
      </c>
      <c r="ES103" s="174" t="s">
        <v>422</v>
      </c>
      <c r="ET103" s="174" t="s">
        <v>1374</v>
      </c>
      <c r="EU103" s="174" t="s">
        <v>422</v>
      </c>
      <c r="EV103" s="174" t="s">
        <v>1140</v>
      </c>
      <c r="EW103" s="174" t="s">
        <v>452</v>
      </c>
      <c r="EX103" s="174" t="s">
        <v>452</v>
      </c>
      <c r="EY103" s="174" t="s">
        <v>422</v>
      </c>
      <c r="EZ103" s="174" t="s">
        <v>422</v>
      </c>
      <c r="FA103" s="174" t="s">
        <v>422</v>
      </c>
      <c r="FD103" s="174" t="s">
        <v>472</v>
      </c>
      <c r="FE103" s="174" t="s">
        <v>1141</v>
      </c>
      <c r="FF103" s="174" t="s">
        <v>423</v>
      </c>
      <c r="FG103" s="174" t="s">
        <v>422</v>
      </c>
      <c r="FI103" s="174" t="s">
        <v>1140</v>
      </c>
      <c r="FQ103" s="174" t="s">
        <v>566</v>
      </c>
      <c r="FR103" s="174" t="s">
        <v>566</v>
      </c>
      <c r="FS103" s="174" t="s">
        <v>1375</v>
      </c>
      <c r="FT103" s="174" t="s">
        <v>1375</v>
      </c>
      <c r="FU103" s="174" t="s">
        <v>1375</v>
      </c>
      <c r="FZ103" s="174" t="s">
        <v>491</v>
      </c>
      <c r="GA103" s="174" t="s">
        <v>616</v>
      </c>
      <c r="GB103" s="174" t="s">
        <v>491</v>
      </c>
      <c r="GC103" s="174" t="s">
        <v>616</v>
      </c>
      <c r="GD103" s="174" t="s">
        <v>491</v>
      </c>
      <c r="GE103" s="174" t="s">
        <v>491</v>
      </c>
      <c r="GF103" s="174" t="s">
        <v>491</v>
      </c>
      <c r="GG103" s="174" t="s">
        <v>616</v>
      </c>
      <c r="GH103" s="174" t="s">
        <v>491</v>
      </c>
      <c r="HA103" s="174">
        <v>34</v>
      </c>
      <c r="HB103" s="197">
        <v>100</v>
      </c>
      <c r="HC103" s="194">
        <v>70</v>
      </c>
      <c r="HD103" s="238">
        <v>95</v>
      </c>
      <c r="HE103" s="236">
        <v>25</v>
      </c>
      <c r="HF103" s="183">
        <v>165</v>
      </c>
      <c r="HG103" s="193" t="e">
        <f t="shared" si="11"/>
        <v>#N/A</v>
      </c>
      <c r="HH103" s="192" t="e">
        <f t="shared" si="12"/>
        <v>#N/A</v>
      </c>
      <c r="HI103" s="198">
        <v>25</v>
      </c>
      <c r="HJ103" s="185">
        <v>140</v>
      </c>
      <c r="HK103" s="174">
        <v>101</v>
      </c>
      <c r="HL103" s="174">
        <v>433</v>
      </c>
      <c r="HM103" s="174">
        <v>464</v>
      </c>
      <c r="HN103" s="174">
        <v>373</v>
      </c>
      <c r="HO103" s="174">
        <v>221</v>
      </c>
      <c r="HP103" s="174">
        <v>211</v>
      </c>
      <c r="HQ103" s="174">
        <v>201</v>
      </c>
      <c r="HR103" s="174">
        <v>191</v>
      </c>
      <c r="HS103" s="174">
        <v>373</v>
      </c>
      <c r="HT103" s="174">
        <v>363</v>
      </c>
      <c r="HU103" s="174">
        <v>201</v>
      </c>
      <c r="HV103" s="174">
        <v>272</v>
      </c>
      <c r="HW103" s="174">
        <v>191</v>
      </c>
      <c r="HX103" s="174">
        <v>181</v>
      </c>
      <c r="HY103" s="174">
        <v>171</v>
      </c>
      <c r="HZ103" s="174">
        <v>161</v>
      </c>
      <c r="IA103" s="174">
        <v>262</v>
      </c>
      <c r="IB103" s="174">
        <v>242</v>
      </c>
      <c r="IC103" s="174">
        <v>161</v>
      </c>
      <c r="ID103" s="174">
        <v>131</v>
      </c>
      <c r="IE103" s="174">
        <v>111</v>
      </c>
      <c r="IF103" s="174">
        <v>103</v>
      </c>
    </row>
    <row r="104" spans="1:248" ht="13.35" customHeight="1" thickBot="1" x14ac:dyDescent="0.25">
      <c r="A104" s="183">
        <f t="shared" si="9"/>
        <v>103</v>
      </c>
      <c r="B104" s="184">
        <f t="shared" si="16"/>
        <v>16</v>
      </c>
      <c r="C104" s="183">
        <f t="shared" si="15"/>
        <v>259</v>
      </c>
      <c r="D104" s="174">
        <v>47</v>
      </c>
      <c r="E104" s="189" t="s">
        <v>679</v>
      </c>
      <c r="J104" s="174">
        <v>5</v>
      </c>
      <c r="AG104" s="174">
        <v>5</v>
      </c>
      <c r="AZ104" s="174">
        <v>10</v>
      </c>
      <c r="BL104" s="174">
        <v>10</v>
      </c>
      <c r="CD104" s="174">
        <v>10</v>
      </c>
      <c r="CX104" s="174">
        <v>5</v>
      </c>
      <c r="EE104" s="203">
        <v>1.2986000000000015</v>
      </c>
      <c r="EF104" s="174">
        <v>-20</v>
      </c>
      <c r="EO104" s="174" t="s">
        <v>452</v>
      </c>
      <c r="EP104" s="174" t="s">
        <v>452</v>
      </c>
      <c r="ER104" s="174" t="s">
        <v>677</v>
      </c>
      <c r="ES104" s="174" t="s">
        <v>677</v>
      </c>
      <c r="ET104" s="174" t="s">
        <v>452</v>
      </c>
      <c r="EU104" s="174" t="s">
        <v>677</v>
      </c>
      <c r="EV104" s="174" t="s">
        <v>452</v>
      </c>
      <c r="EW104" s="174" t="s">
        <v>491</v>
      </c>
      <c r="EX104" s="174" t="s">
        <v>491</v>
      </c>
      <c r="EY104" s="174" t="s">
        <v>677</v>
      </c>
      <c r="EZ104" s="174" t="s">
        <v>677</v>
      </c>
      <c r="FA104" s="174" t="s">
        <v>677</v>
      </c>
      <c r="FD104" s="174" t="s">
        <v>1310</v>
      </c>
      <c r="FF104" s="174" t="s">
        <v>616</v>
      </c>
      <c r="FG104" s="174" t="s">
        <v>677</v>
      </c>
      <c r="FI104" s="174" t="s">
        <v>1146</v>
      </c>
      <c r="FQ104" s="174" t="s">
        <v>1349</v>
      </c>
      <c r="FR104" s="174" t="s">
        <v>1349</v>
      </c>
      <c r="FS104" s="174" t="s">
        <v>1376</v>
      </c>
      <c r="FT104" s="174" t="s">
        <v>1376</v>
      </c>
      <c r="FU104" s="174" t="s">
        <v>1376</v>
      </c>
      <c r="FZ104" s="174" t="s">
        <v>1377</v>
      </c>
      <c r="GB104" s="174" t="s">
        <v>616</v>
      </c>
      <c r="GD104" s="174" t="s">
        <v>616</v>
      </c>
      <c r="GE104" s="174" t="s">
        <v>616</v>
      </c>
      <c r="GF104" s="174" t="s">
        <v>616</v>
      </c>
      <c r="GH104" s="174" t="s">
        <v>616</v>
      </c>
      <c r="HA104" s="174">
        <v>35</v>
      </c>
      <c r="HB104" s="197">
        <v>101</v>
      </c>
      <c r="HC104" s="194">
        <v>71</v>
      </c>
      <c r="HD104" s="238">
        <v>95.5</v>
      </c>
      <c r="HE104" s="236">
        <v>25</v>
      </c>
      <c r="HF104" s="183">
        <v>166</v>
      </c>
      <c r="HG104" s="193" t="e">
        <f t="shared" si="11"/>
        <v>#N/A</v>
      </c>
      <c r="HH104" s="192" t="e">
        <f t="shared" si="12"/>
        <v>#N/A</v>
      </c>
      <c r="HI104" s="198">
        <v>25</v>
      </c>
      <c r="HJ104" s="185">
        <v>140.5</v>
      </c>
      <c r="HK104" s="174">
        <v>102</v>
      </c>
      <c r="HL104" s="174">
        <v>436</v>
      </c>
      <c r="HM104" s="174">
        <v>468</v>
      </c>
      <c r="HN104" s="174">
        <v>376</v>
      </c>
      <c r="HO104" s="174">
        <v>222</v>
      </c>
      <c r="HP104" s="174">
        <v>212</v>
      </c>
      <c r="HQ104" s="174">
        <v>202</v>
      </c>
      <c r="HR104" s="174">
        <v>192</v>
      </c>
      <c r="HS104" s="174">
        <v>376</v>
      </c>
      <c r="HT104" s="174">
        <v>366</v>
      </c>
      <c r="HU104" s="174">
        <v>202</v>
      </c>
      <c r="HV104" s="174">
        <v>274</v>
      </c>
      <c r="HW104" s="174">
        <v>192</v>
      </c>
      <c r="HX104" s="174">
        <v>182</v>
      </c>
      <c r="HY104" s="174">
        <v>172</v>
      </c>
      <c r="HZ104" s="174">
        <v>162</v>
      </c>
      <c r="IA104" s="174">
        <v>264</v>
      </c>
      <c r="IB104" s="174">
        <v>244</v>
      </c>
      <c r="IC104" s="174">
        <v>162</v>
      </c>
      <c r="ID104" s="174">
        <v>132</v>
      </c>
      <c r="IE104" s="174">
        <v>112</v>
      </c>
      <c r="IF104" s="174">
        <v>104</v>
      </c>
    </row>
    <row r="105" spans="1:248" ht="13.35" customHeight="1" thickBot="1" x14ac:dyDescent="0.25">
      <c r="A105" s="183">
        <f t="shared" si="9"/>
        <v>104</v>
      </c>
      <c r="B105" s="184">
        <f t="shared" si="16"/>
        <v>18</v>
      </c>
      <c r="C105" s="183">
        <f t="shared" si="15"/>
        <v>286</v>
      </c>
      <c r="D105" s="174">
        <v>48</v>
      </c>
      <c r="E105" s="189" t="s">
        <v>1114</v>
      </c>
      <c r="J105" s="174">
        <v>5</v>
      </c>
      <c r="AG105" s="174">
        <v>5</v>
      </c>
      <c r="AZ105" s="174">
        <v>10</v>
      </c>
      <c r="BL105" s="174">
        <v>10</v>
      </c>
      <c r="CD105" s="174">
        <v>10</v>
      </c>
      <c r="CX105" s="174">
        <v>5</v>
      </c>
      <c r="EE105" s="203">
        <v>1.3240000000000014</v>
      </c>
      <c r="EF105" s="174">
        <v>-15</v>
      </c>
      <c r="EO105" s="174" t="s">
        <v>423</v>
      </c>
      <c r="EP105" s="174" t="s">
        <v>423</v>
      </c>
      <c r="ER105" s="174" t="s">
        <v>1359</v>
      </c>
      <c r="ES105" s="174" t="s">
        <v>1359</v>
      </c>
      <c r="ET105" s="174" t="s">
        <v>1349</v>
      </c>
      <c r="EU105" s="174" t="s">
        <v>1359</v>
      </c>
      <c r="EV105" s="174" t="s">
        <v>555</v>
      </c>
      <c r="EW105" s="174" t="s">
        <v>555</v>
      </c>
      <c r="EX105" s="174" t="s">
        <v>555</v>
      </c>
      <c r="EY105" s="174" t="s">
        <v>1359</v>
      </c>
      <c r="EZ105" s="174" t="s">
        <v>1359</v>
      </c>
      <c r="FA105" s="174" t="s">
        <v>1359</v>
      </c>
      <c r="FD105" s="174" t="s">
        <v>1378</v>
      </c>
      <c r="FG105" s="174" t="s">
        <v>1307</v>
      </c>
      <c r="FI105" s="174" t="s">
        <v>474</v>
      </c>
      <c r="FS105" s="174" t="s">
        <v>1379</v>
      </c>
      <c r="FT105" s="174" t="s">
        <v>1379</v>
      </c>
      <c r="FU105" s="174" t="s">
        <v>1379</v>
      </c>
      <c r="FZ105" s="174" t="s">
        <v>616</v>
      </c>
      <c r="HA105" s="174">
        <v>36</v>
      </c>
      <c r="HB105" s="197">
        <v>102</v>
      </c>
      <c r="HC105" s="194">
        <v>71</v>
      </c>
      <c r="HD105" s="238">
        <v>96</v>
      </c>
      <c r="HE105" s="236">
        <v>25</v>
      </c>
      <c r="HF105" s="183">
        <v>167</v>
      </c>
      <c r="HG105" s="193" t="e">
        <f t="shared" si="11"/>
        <v>#N/A</v>
      </c>
      <c r="HH105" s="192" t="e">
        <f t="shared" si="12"/>
        <v>#N/A</v>
      </c>
      <c r="HI105" s="198">
        <v>25</v>
      </c>
      <c r="HJ105" s="185">
        <v>141</v>
      </c>
      <c r="HK105" s="174">
        <v>103</v>
      </c>
      <c r="HL105" s="174">
        <v>439</v>
      </c>
      <c r="HM105" s="174">
        <v>472</v>
      </c>
      <c r="HN105" s="174">
        <v>379</v>
      </c>
      <c r="HO105" s="174">
        <v>223</v>
      </c>
      <c r="HP105" s="174">
        <v>213</v>
      </c>
      <c r="HQ105" s="174">
        <v>203</v>
      </c>
      <c r="HR105" s="174">
        <v>193</v>
      </c>
      <c r="HS105" s="174">
        <v>379</v>
      </c>
      <c r="HT105" s="174">
        <v>369</v>
      </c>
      <c r="HU105" s="174">
        <v>203</v>
      </c>
      <c r="HV105" s="174">
        <v>276</v>
      </c>
      <c r="HW105" s="174">
        <v>193</v>
      </c>
      <c r="HX105" s="174">
        <v>183</v>
      </c>
      <c r="HY105" s="174">
        <v>173</v>
      </c>
      <c r="HZ105" s="174">
        <v>163</v>
      </c>
      <c r="IA105" s="174">
        <v>266</v>
      </c>
      <c r="IB105" s="174">
        <v>246</v>
      </c>
      <c r="IC105" s="174">
        <v>163</v>
      </c>
      <c r="ID105" s="174">
        <v>133</v>
      </c>
      <c r="IE105" s="174">
        <v>113</v>
      </c>
      <c r="IF105" s="174">
        <v>105</v>
      </c>
    </row>
    <row r="106" spans="1:248" ht="13.35" customHeight="1" thickBot="1" x14ac:dyDescent="0.25">
      <c r="A106" s="183">
        <f t="shared" si="9"/>
        <v>105</v>
      </c>
      <c r="B106" s="184">
        <f t="shared" si="16"/>
        <v>20</v>
      </c>
      <c r="C106" s="183">
        <f t="shared" si="15"/>
        <v>315</v>
      </c>
      <c r="D106" s="174">
        <v>49</v>
      </c>
      <c r="E106" s="189" t="s">
        <v>700</v>
      </c>
      <c r="J106" s="174">
        <v>5</v>
      </c>
      <c r="AG106" s="174">
        <v>5</v>
      </c>
      <c r="AW106" s="174">
        <v>10</v>
      </c>
      <c r="AZ106" s="174">
        <v>10</v>
      </c>
      <c r="BL106" s="174">
        <v>10</v>
      </c>
      <c r="CD106" s="174">
        <v>10</v>
      </c>
      <c r="CX106" s="174">
        <v>5</v>
      </c>
      <c r="DB106" s="174">
        <v>5</v>
      </c>
      <c r="EE106" s="203">
        <v>1.3494000000000015</v>
      </c>
      <c r="EF106" s="174">
        <v>-15</v>
      </c>
      <c r="EO106" s="174" t="s">
        <v>1302</v>
      </c>
      <c r="EP106" s="174" t="s">
        <v>1302</v>
      </c>
      <c r="ER106" s="174" t="s">
        <v>1146</v>
      </c>
      <c r="ES106" s="174" t="s">
        <v>1146</v>
      </c>
      <c r="ET106" s="174" t="s">
        <v>491</v>
      </c>
      <c r="EU106" s="174" t="s">
        <v>1146</v>
      </c>
      <c r="EV106" s="174" t="s">
        <v>678</v>
      </c>
      <c r="EW106" s="174" t="s">
        <v>616</v>
      </c>
      <c r="EX106" s="174" t="s">
        <v>616</v>
      </c>
      <c r="EY106" s="174" t="s">
        <v>1146</v>
      </c>
      <c r="EZ106" s="174" t="s">
        <v>1146</v>
      </c>
      <c r="FA106" s="174" t="s">
        <v>1146</v>
      </c>
      <c r="FD106" s="174" t="s">
        <v>677</v>
      </c>
      <c r="FG106" s="174" t="s">
        <v>452</v>
      </c>
      <c r="FI106" s="174" t="s">
        <v>452</v>
      </c>
      <c r="FS106" s="174" t="s">
        <v>1380</v>
      </c>
      <c r="FT106" s="174" t="s">
        <v>1380</v>
      </c>
      <c r="FU106" s="174" t="s">
        <v>1380</v>
      </c>
      <c r="HA106" s="174">
        <v>37</v>
      </c>
      <c r="HB106" s="197">
        <v>103</v>
      </c>
      <c r="HC106" s="194">
        <v>72</v>
      </c>
      <c r="HD106" s="238">
        <v>96.5</v>
      </c>
      <c r="HE106" s="236">
        <v>25</v>
      </c>
      <c r="HF106" s="183">
        <v>168</v>
      </c>
      <c r="HG106" s="193" t="e">
        <f t="shared" si="11"/>
        <v>#N/A</v>
      </c>
      <c r="HH106" s="192" t="e">
        <f t="shared" si="12"/>
        <v>#N/A</v>
      </c>
      <c r="HI106" s="198">
        <v>25</v>
      </c>
      <c r="HJ106" s="185">
        <v>141.5</v>
      </c>
      <c r="HK106" s="174">
        <v>104</v>
      </c>
      <c r="HL106" s="174">
        <v>442</v>
      </c>
      <c r="HM106" s="174">
        <v>476</v>
      </c>
      <c r="HN106" s="174">
        <v>382</v>
      </c>
      <c r="HO106" s="174">
        <v>224</v>
      </c>
      <c r="HP106" s="174">
        <v>214</v>
      </c>
      <c r="HQ106" s="174">
        <v>204</v>
      </c>
      <c r="HR106" s="174">
        <v>194</v>
      </c>
      <c r="HS106" s="174">
        <v>382</v>
      </c>
      <c r="HT106" s="174">
        <v>372</v>
      </c>
      <c r="HU106" s="174">
        <v>204</v>
      </c>
      <c r="HV106" s="174">
        <v>278</v>
      </c>
      <c r="HW106" s="174">
        <v>194</v>
      </c>
      <c r="HX106" s="174">
        <v>184</v>
      </c>
      <c r="HY106" s="174">
        <v>174</v>
      </c>
      <c r="HZ106" s="174">
        <v>164</v>
      </c>
      <c r="IA106" s="174">
        <v>268</v>
      </c>
      <c r="IB106" s="174">
        <v>248</v>
      </c>
      <c r="IC106" s="174">
        <v>164</v>
      </c>
      <c r="ID106" s="174">
        <v>134</v>
      </c>
      <c r="IE106" s="174">
        <v>114</v>
      </c>
      <c r="IF106" s="174">
        <v>106</v>
      </c>
    </row>
    <row r="107" spans="1:248" ht="13.35" customHeight="1" thickBot="1" x14ac:dyDescent="0.25">
      <c r="A107" s="183">
        <f t="shared" si="9"/>
        <v>106</v>
      </c>
      <c r="B107" s="184">
        <f t="shared" si="16"/>
        <v>22</v>
      </c>
      <c r="C107" s="183">
        <f t="shared" si="15"/>
        <v>346</v>
      </c>
      <c r="D107" s="174">
        <v>50</v>
      </c>
      <c r="E107" s="189" t="s">
        <v>714</v>
      </c>
      <c r="W107" s="174">
        <v>5</v>
      </c>
      <c r="AD107" s="174">
        <v>5</v>
      </c>
      <c r="AQ107" s="174">
        <v>5</v>
      </c>
      <c r="EE107" s="203">
        <v>1.3748000000000014</v>
      </c>
      <c r="EF107" s="174">
        <v>-15</v>
      </c>
      <c r="EO107" s="174" t="s">
        <v>491</v>
      </c>
      <c r="EP107" s="174" t="s">
        <v>491</v>
      </c>
      <c r="ER107" s="174" t="s">
        <v>1357</v>
      </c>
      <c r="ES107" s="174" t="s">
        <v>1357</v>
      </c>
      <c r="ET107" s="174" t="s">
        <v>616</v>
      </c>
      <c r="EU107" s="174" t="s">
        <v>1357</v>
      </c>
      <c r="EV107" s="174" t="s">
        <v>616</v>
      </c>
      <c r="EW107" s="174" t="s">
        <v>1141</v>
      </c>
      <c r="EX107" s="174" t="s">
        <v>1141</v>
      </c>
      <c r="EY107" s="174" t="s">
        <v>1357</v>
      </c>
      <c r="EZ107" s="174" t="s">
        <v>1357</v>
      </c>
      <c r="FA107" s="174" t="s">
        <v>1357</v>
      </c>
      <c r="FD107" s="174" t="s">
        <v>1307</v>
      </c>
      <c r="FG107" s="174" t="s">
        <v>1381</v>
      </c>
      <c r="FI107" s="174" t="s">
        <v>423</v>
      </c>
      <c r="HA107" s="174">
        <v>38</v>
      </c>
      <c r="HB107" s="197">
        <v>104</v>
      </c>
      <c r="HC107" s="194">
        <v>72</v>
      </c>
      <c r="HD107" s="238">
        <v>97</v>
      </c>
      <c r="HE107" s="236">
        <v>25</v>
      </c>
      <c r="HF107" s="183">
        <v>169</v>
      </c>
      <c r="HG107" s="193" t="e">
        <f t="shared" si="11"/>
        <v>#N/A</v>
      </c>
      <c r="HH107" s="192" t="e">
        <f t="shared" si="12"/>
        <v>#N/A</v>
      </c>
      <c r="HI107" s="198">
        <v>25</v>
      </c>
      <c r="HJ107" s="185">
        <v>142</v>
      </c>
      <c r="HK107" s="174">
        <v>105</v>
      </c>
      <c r="HL107" s="174">
        <v>445</v>
      </c>
      <c r="HM107" s="174">
        <v>480</v>
      </c>
      <c r="HN107" s="174">
        <v>385</v>
      </c>
      <c r="HO107" s="174">
        <v>225</v>
      </c>
      <c r="HP107" s="174">
        <v>215</v>
      </c>
      <c r="HQ107" s="174">
        <v>205</v>
      </c>
      <c r="HR107" s="174">
        <v>195</v>
      </c>
      <c r="HS107" s="174">
        <v>385</v>
      </c>
      <c r="HT107" s="174">
        <v>375</v>
      </c>
      <c r="HU107" s="174">
        <v>205</v>
      </c>
      <c r="HV107" s="174">
        <v>280</v>
      </c>
      <c r="HW107" s="174">
        <v>195</v>
      </c>
      <c r="HX107" s="174">
        <v>185</v>
      </c>
      <c r="HY107" s="174">
        <v>175</v>
      </c>
      <c r="HZ107" s="174">
        <v>165</v>
      </c>
      <c r="IA107" s="174">
        <v>270</v>
      </c>
      <c r="IB107" s="174">
        <v>250</v>
      </c>
      <c r="IC107" s="174">
        <v>165</v>
      </c>
      <c r="ID107" s="174">
        <v>135</v>
      </c>
      <c r="IE107" s="174">
        <v>115</v>
      </c>
      <c r="IF107" s="174">
        <v>107</v>
      </c>
    </row>
    <row r="108" spans="1:248" ht="13.35" customHeight="1" thickBot="1" x14ac:dyDescent="0.25">
      <c r="A108" s="183">
        <f t="shared" si="9"/>
        <v>107</v>
      </c>
      <c r="B108" s="184">
        <f t="shared" si="16"/>
        <v>24</v>
      </c>
      <c r="C108" s="183">
        <f t="shared" si="15"/>
        <v>379</v>
      </c>
      <c r="D108" s="174">
        <v>51</v>
      </c>
      <c r="E108" s="189" t="s">
        <v>720</v>
      </c>
      <c r="F108" s="174">
        <v>20</v>
      </c>
      <c r="G108" s="174">
        <v>10</v>
      </c>
      <c r="H108" s="174">
        <v>15</v>
      </c>
      <c r="J108" s="174">
        <v>5</v>
      </c>
      <c r="M108" s="174">
        <v>5</v>
      </c>
      <c r="T108" s="174">
        <v>5</v>
      </c>
      <c r="U108" s="174">
        <v>10</v>
      </c>
      <c r="V108" s="174">
        <v>5</v>
      </c>
      <c r="W108" s="174">
        <v>5</v>
      </c>
      <c r="X108" s="174">
        <v>5</v>
      </c>
      <c r="Y108" s="174">
        <v>5</v>
      </c>
      <c r="AC108" s="174">
        <v>5</v>
      </c>
      <c r="AD108" s="174">
        <v>10</v>
      </c>
      <c r="AH108" s="174">
        <v>10</v>
      </c>
      <c r="AJ108" s="174">
        <v>10</v>
      </c>
      <c r="AQ108" s="174">
        <v>10</v>
      </c>
      <c r="AU108" s="174">
        <v>10</v>
      </c>
      <c r="AX108" s="174">
        <v>5</v>
      </c>
      <c r="AY108" s="174">
        <v>10</v>
      </c>
      <c r="AZ108" s="174">
        <v>5</v>
      </c>
      <c r="BA108" s="174">
        <v>5</v>
      </c>
      <c r="BB108" s="174">
        <v>10</v>
      </c>
      <c r="BD108" s="174">
        <v>10</v>
      </c>
      <c r="BF108" s="174">
        <v>10</v>
      </c>
      <c r="BH108" s="174">
        <v>5</v>
      </c>
      <c r="BI108" s="174">
        <v>10</v>
      </c>
      <c r="BK108" s="174">
        <v>5</v>
      </c>
      <c r="BN108" s="174">
        <v>10</v>
      </c>
      <c r="BP108" s="174">
        <v>10</v>
      </c>
      <c r="BT108" s="174">
        <v>5</v>
      </c>
      <c r="BU108" s="174">
        <v>5</v>
      </c>
      <c r="BV108" s="174">
        <v>10</v>
      </c>
      <c r="BW108" s="174">
        <v>10</v>
      </c>
      <c r="BZ108" s="174">
        <v>5</v>
      </c>
      <c r="CA108" s="174">
        <v>5</v>
      </c>
      <c r="CD108" s="174">
        <v>5</v>
      </c>
      <c r="CE108" s="174">
        <v>5</v>
      </c>
      <c r="CF108" s="174">
        <v>10</v>
      </c>
      <c r="CG108" s="174">
        <v>5</v>
      </c>
      <c r="CH108" s="174">
        <v>10</v>
      </c>
      <c r="CI108" s="174">
        <v>10</v>
      </c>
      <c r="CJ108" s="174">
        <v>5</v>
      </c>
      <c r="CK108" s="174">
        <v>10</v>
      </c>
      <c r="CL108" s="174">
        <v>5</v>
      </c>
      <c r="CM108" s="174">
        <v>10</v>
      </c>
      <c r="CO108" s="174">
        <v>15</v>
      </c>
      <c r="CQ108" s="174">
        <v>10</v>
      </c>
      <c r="CS108" s="174">
        <v>15</v>
      </c>
      <c r="CT108" s="174">
        <v>10</v>
      </c>
      <c r="CU108" s="174">
        <v>5</v>
      </c>
      <c r="CV108" s="174">
        <v>10</v>
      </c>
      <c r="CY108" s="174">
        <v>5</v>
      </c>
      <c r="DA108" s="174">
        <v>15</v>
      </c>
      <c r="DC108" s="174">
        <v>5</v>
      </c>
      <c r="EE108" s="203">
        <v>1.4002000000000012</v>
      </c>
      <c r="EF108" s="174">
        <v>-15</v>
      </c>
      <c r="EO108" s="174" t="s">
        <v>1179</v>
      </c>
      <c r="EP108" s="174" t="s">
        <v>1179</v>
      </c>
      <c r="ER108" s="174" t="s">
        <v>555</v>
      </c>
      <c r="ES108" s="174" t="s">
        <v>555</v>
      </c>
      <c r="EU108" s="174" t="s">
        <v>555</v>
      </c>
      <c r="EV108" s="174" t="s">
        <v>1382</v>
      </c>
      <c r="EX108" s="174" t="s">
        <v>1383</v>
      </c>
      <c r="EY108" s="174" t="s">
        <v>555</v>
      </c>
      <c r="EZ108" s="174" t="s">
        <v>555</v>
      </c>
      <c r="FA108" s="174" t="s">
        <v>555</v>
      </c>
      <c r="FD108" s="174" t="s">
        <v>474</v>
      </c>
      <c r="FG108" s="174" t="s">
        <v>423</v>
      </c>
      <c r="FI108" s="174" t="s">
        <v>555</v>
      </c>
      <c r="HA108" s="174">
        <v>39</v>
      </c>
      <c r="HB108" s="197">
        <v>105</v>
      </c>
      <c r="HC108" s="194">
        <v>73</v>
      </c>
      <c r="HD108" s="238">
        <v>97.5</v>
      </c>
      <c r="HE108" s="236">
        <v>25</v>
      </c>
      <c r="HF108" s="183">
        <v>170</v>
      </c>
      <c r="HG108" s="193" t="e">
        <f t="shared" si="11"/>
        <v>#N/A</v>
      </c>
      <c r="HH108" s="192" t="e">
        <f t="shared" si="12"/>
        <v>#N/A</v>
      </c>
      <c r="HI108" s="198">
        <v>25</v>
      </c>
      <c r="HJ108" s="185">
        <v>142.5</v>
      </c>
      <c r="HK108" s="174">
        <v>106</v>
      </c>
      <c r="HL108" s="174">
        <v>448</v>
      </c>
      <c r="HM108" s="174">
        <v>484</v>
      </c>
      <c r="HN108" s="174">
        <v>388</v>
      </c>
      <c r="HO108" s="174">
        <v>226</v>
      </c>
      <c r="HP108" s="174">
        <v>216</v>
      </c>
      <c r="HQ108" s="174">
        <v>206</v>
      </c>
      <c r="HR108" s="174">
        <v>196</v>
      </c>
      <c r="HS108" s="174">
        <v>388</v>
      </c>
      <c r="HT108" s="174">
        <v>378</v>
      </c>
      <c r="HU108" s="174">
        <v>206</v>
      </c>
      <c r="HV108" s="174">
        <v>282</v>
      </c>
      <c r="HW108" s="174">
        <v>196</v>
      </c>
      <c r="HX108" s="174">
        <v>186</v>
      </c>
      <c r="HY108" s="174">
        <v>176</v>
      </c>
      <c r="HZ108" s="174">
        <v>166</v>
      </c>
      <c r="IA108" s="174">
        <v>272</v>
      </c>
      <c r="IB108" s="174">
        <v>252</v>
      </c>
      <c r="IC108" s="174">
        <v>166</v>
      </c>
      <c r="ID108" s="174">
        <v>136</v>
      </c>
      <c r="IE108" s="174">
        <v>116</v>
      </c>
      <c r="IF108" s="174">
        <v>108</v>
      </c>
    </row>
    <row r="109" spans="1:248" ht="13.35" customHeight="1" thickBot="1" x14ac:dyDescent="0.25">
      <c r="A109" s="183">
        <f t="shared" si="9"/>
        <v>108</v>
      </c>
      <c r="B109" s="184">
        <f t="shared" si="16"/>
        <v>26</v>
      </c>
      <c r="C109" s="183">
        <f t="shared" si="15"/>
        <v>414</v>
      </c>
      <c r="D109" s="174">
        <v>52</v>
      </c>
      <c r="E109" s="189" t="s">
        <v>726</v>
      </c>
      <c r="F109" s="174">
        <v>20</v>
      </c>
      <c r="G109" s="174">
        <v>10</v>
      </c>
      <c r="H109" s="174">
        <v>15</v>
      </c>
      <c r="J109" s="174">
        <v>5</v>
      </c>
      <c r="M109" s="174">
        <v>5</v>
      </c>
      <c r="T109" s="174">
        <v>5</v>
      </c>
      <c r="U109" s="174">
        <v>10</v>
      </c>
      <c r="V109" s="174">
        <v>5</v>
      </c>
      <c r="W109" s="174">
        <v>5</v>
      </c>
      <c r="X109" s="174">
        <v>5</v>
      </c>
      <c r="Y109" s="174">
        <v>5</v>
      </c>
      <c r="AC109" s="174">
        <v>5</v>
      </c>
      <c r="AD109" s="174">
        <v>10</v>
      </c>
      <c r="AH109" s="174">
        <v>10</v>
      </c>
      <c r="AJ109" s="174">
        <v>10</v>
      </c>
      <c r="AQ109" s="174">
        <v>10</v>
      </c>
      <c r="AU109" s="174">
        <v>10</v>
      </c>
      <c r="AX109" s="174">
        <v>5</v>
      </c>
      <c r="AY109" s="174">
        <v>10</v>
      </c>
      <c r="AZ109" s="174">
        <v>5</v>
      </c>
      <c r="BA109" s="174">
        <v>5</v>
      </c>
      <c r="BB109" s="174">
        <v>10</v>
      </c>
      <c r="BD109" s="174">
        <v>10</v>
      </c>
      <c r="BF109" s="174">
        <v>10</v>
      </c>
      <c r="BH109" s="174">
        <v>5</v>
      </c>
      <c r="BI109" s="174">
        <v>10</v>
      </c>
      <c r="BK109" s="174">
        <v>5</v>
      </c>
      <c r="BN109" s="174">
        <v>10</v>
      </c>
      <c r="BP109" s="174">
        <v>10</v>
      </c>
      <c r="BT109" s="174">
        <v>5</v>
      </c>
      <c r="BU109" s="174">
        <v>5</v>
      </c>
      <c r="BV109" s="174">
        <v>10</v>
      </c>
      <c r="BW109" s="174">
        <v>10</v>
      </c>
      <c r="BZ109" s="174">
        <v>5</v>
      </c>
      <c r="CA109" s="174">
        <v>5</v>
      </c>
      <c r="CD109" s="174">
        <v>5</v>
      </c>
      <c r="CE109" s="174">
        <v>5</v>
      </c>
      <c r="CF109" s="174">
        <v>10</v>
      </c>
      <c r="CG109" s="174">
        <v>5</v>
      </c>
      <c r="CH109" s="174">
        <v>10</v>
      </c>
      <c r="CI109" s="174">
        <v>10</v>
      </c>
      <c r="CJ109" s="174">
        <v>5</v>
      </c>
      <c r="CK109" s="174">
        <v>10</v>
      </c>
      <c r="CL109" s="174">
        <v>5</v>
      </c>
      <c r="CM109" s="174">
        <v>10</v>
      </c>
      <c r="CO109" s="174">
        <v>15</v>
      </c>
      <c r="CQ109" s="174">
        <v>10</v>
      </c>
      <c r="CS109" s="174">
        <v>15</v>
      </c>
      <c r="CT109" s="174">
        <v>10</v>
      </c>
      <c r="CU109" s="174">
        <v>5</v>
      </c>
      <c r="CV109" s="174">
        <v>10</v>
      </c>
      <c r="CY109" s="174">
        <v>5</v>
      </c>
      <c r="DA109" s="174">
        <v>15</v>
      </c>
      <c r="DC109" s="174">
        <v>5</v>
      </c>
      <c r="EE109" s="203">
        <v>1.4256000000000011</v>
      </c>
      <c r="EF109" s="174">
        <v>-15</v>
      </c>
      <c r="EO109" s="174" t="s">
        <v>616</v>
      </c>
      <c r="EP109" s="174" t="s">
        <v>616</v>
      </c>
      <c r="ER109" s="174" t="s">
        <v>1384</v>
      </c>
      <c r="ES109" s="174" t="s">
        <v>1384</v>
      </c>
      <c r="EU109" s="174" t="s">
        <v>1384</v>
      </c>
      <c r="EV109" s="174" t="s">
        <v>1385</v>
      </c>
      <c r="EX109" s="174" t="s">
        <v>1386</v>
      </c>
      <c r="EY109" s="174" t="s">
        <v>1384</v>
      </c>
      <c r="EZ109" s="174" t="s">
        <v>1384</v>
      </c>
      <c r="FA109" s="174" t="s">
        <v>1384</v>
      </c>
      <c r="FD109" s="174" t="s">
        <v>452</v>
      </c>
      <c r="FG109" s="174" t="s">
        <v>1387</v>
      </c>
      <c r="FI109" s="174" t="s">
        <v>678</v>
      </c>
      <c r="HA109" s="174">
        <v>40</v>
      </c>
      <c r="HB109" s="197">
        <v>106</v>
      </c>
      <c r="HC109" s="194">
        <v>73</v>
      </c>
      <c r="HD109" s="238">
        <v>98</v>
      </c>
      <c r="HE109" s="236">
        <v>25</v>
      </c>
      <c r="HF109" s="183">
        <v>171</v>
      </c>
      <c r="HG109" s="193" t="e">
        <f t="shared" si="11"/>
        <v>#N/A</v>
      </c>
      <c r="HH109" s="192" t="e">
        <f t="shared" si="12"/>
        <v>#N/A</v>
      </c>
      <c r="HI109" s="198">
        <v>25</v>
      </c>
      <c r="HJ109" s="185">
        <v>143</v>
      </c>
      <c r="HK109" s="174">
        <v>107</v>
      </c>
      <c r="HL109" s="174">
        <v>451</v>
      </c>
      <c r="HM109" s="174">
        <v>488</v>
      </c>
      <c r="HN109" s="174">
        <v>391</v>
      </c>
      <c r="HO109" s="174">
        <v>227</v>
      </c>
      <c r="HP109" s="174">
        <v>217</v>
      </c>
      <c r="HQ109" s="174">
        <v>207</v>
      </c>
      <c r="HR109" s="174">
        <v>197</v>
      </c>
      <c r="HS109" s="174">
        <v>391</v>
      </c>
      <c r="HT109" s="174">
        <v>381</v>
      </c>
      <c r="HU109" s="174">
        <v>207</v>
      </c>
      <c r="HV109" s="174">
        <v>284</v>
      </c>
      <c r="HW109" s="174">
        <v>197</v>
      </c>
      <c r="HX109" s="174">
        <v>187</v>
      </c>
      <c r="HY109" s="174">
        <v>177</v>
      </c>
      <c r="HZ109" s="174">
        <v>167</v>
      </c>
      <c r="IA109" s="174">
        <v>274</v>
      </c>
      <c r="IB109" s="174">
        <v>254</v>
      </c>
      <c r="IC109" s="174">
        <v>167</v>
      </c>
      <c r="ID109" s="174">
        <v>137</v>
      </c>
      <c r="IE109" s="174">
        <v>117</v>
      </c>
      <c r="IF109" s="174">
        <v>109</v>
      </c>
    </row>
    <row r="110" spans="1:248" ht="13.35" customHeight="1" thickBot="1" x14ac:dyDescent="0.25">
      <c r="A110" s="183">
        <f t="shared" si="9"/>
        <v>109</v>
      </c>
      <c r="B110" s="184">
        <f t="shared" si="16"/>
        <v>28</v>
      </c>
      <c r="C110" s="183">
        <f t="shared" si="15"/>
        <v>451</v>
      </c>
      <c r="D110" s="174">
        <v>53</v>
      </c>
      <c r="E110" s="189" t="s">
        <v>730</v>
      </c>
      <c r="F110" s="174">
        <v>20</v>
      </c>
      <c r="G110" s="174">
        <v>10</v>
      </c>
      <c r="H110" s="174">
        <v>15</v>
      </c>
      <c r="J110" s="174">
        <v>5</v>
      </c>
      <c r="M110" s="174">
        <v>5</v>
      </c>
      <c r="T110" s="174">
        <v>5</v>
      </c>
      <c r="U110" s="174">
        <v>10</v>
      </c>
      <c r="V110" s="174">
        <v>5</v>
      </c>
      <c r="W110" s="174">
        <v>5</v>
      </c>
      <c r="X110" s="174">
        <v>5</v>
      </c>
      <c r="Y110" s="174">
        <v>5</v>
      </c>
      <c r="AC110" s="174">
        <v>5</v>
      </c>
      <c r="AD110" s="174">
        <v>10</v>
      </c>
      <c r="AH110" s="174">
        <v>10</v>
      </c>
      <c r="AJ110" s="174">
        <v>10</v>
      </c>
      <c r="AQ110" s="174">
        <v>10</v>
      </c>
      <c r="AU110" s="174">
        <v>10</v>
      </c>
      <c r="AX110" s="174">
        <v>5</v>
      </c>
      <c r="AY110" s="174">
        <v>10</v>
      </c>
      <c r="AZ110" s="174">
        <v>5</v>
      </c>
      <c r="BA110" s="174">
        <v>5</v>
      </c>
      <c r="BB110" s="174">
        <v>10</v>
      </c>
      <c r="BD110" s="174">
        <v>10</v>
      </c>
      <c r="BF110" s="174">
        <v>10</v>
      </c>
      <c r="BH110" s="174">
        <v>5</v>
      </c>
      <c r="BI110" s="174">
        <v>10</v>
      </c>
      <c r="BK110" s="174">
        <v>5</v>
      </c>
      <c r="BN110" s="174">
        <v>10</v>
      </c>
      <c r="BP110" s="174">
        <v>10</v>
      </c>
      <c r="BT110" s="174">
        <v>5</v>
      </c>
      <c r="BU110" s="174">
        <v>5</v>
      </c>
      <c r="BV110" s="174">
        <v>10</v>
      </c>
      <c r="BW110" s="174">
        <v>10</v>
      </c>
      <c r="BZ110" s="174">
        <v>5</v>
      </c>
      <c r="CA110" s="174">
        <v>5</v>
      </c>
      <c r="CD110" s="174">
        <v>5</v>
      </c>
      <c r="CE110" s="174">
        <v>5</v>
      </c>
      <c r="CF110" s="174">
        <v>10</v>
      </c>
      <c r="CG110" s="174">
        <v>5</v>
      </c>
      <c r="CH110" s="174">
        <v>10</v>
      </c>
      <c r="CI110" s="174">
        <v>10</v>
      </c>
      <c r="CJ110" s="174">
        <v>5</v>
      </c>
      <c r="CK110" s="174">
        <v>10</v>
      </c>
      <c r="CL110" s="174">
        <v>5</v>
      </c>
      <c r="CM110" s="174">
        <v>10</v>
      </c>
      <c r="CO110" s="174">
        <v>15</v>
      </c>
      <c r="CQ110" s="174">
        <v>10</v>
      </c>
      <c r="CS110" s="174">
        <v>15</v>
      </c>
      <c r="CT110" s="174">
        <v>10</v>
      </c>
      <c r="CU110" s="174">
        <v>5</v>
      </c>
      <c r="CV110" s="174">
        <v>10</v>
      </c>
      <c r="CY110" s="174">
        <v>5</v>
      </c>
      <c r="DA110" s="174">
        <v>15</v>
      </c>
      <c r="DC110" s="174">
        <v>5</v>
      </c>
      <c r="EE110" s="203">
        <v>1.4510000000000012</v>
      </c>
      <c r="EF110" s="174">
        <v>-15</v>
      </c>
      <c r="ER110" s="174" t="s">
        <v>678</v>
      </c>
      <c r="ES110" s="174" t="s">
        <v>678</v>
      </c>
      <c r="EU110" s="174" t="s">
        <v>678</v>
      </c>
      <c r="EX110" s="174" t="s">
        <v>1388</v>
      </c>
      <c r="EY110" s="174" t="s">
        <v>678</v>
      </c>
      <c r="EZ110" s="174" t="s">
        <v>678</v>
      </c>
      <c r="FA110" s="174" t="s">
        <v>678</v>
      </c>
      <c r="FD110" s="174" t="s">
        <v>491</v>
      </c>
      <c r="FG110" s="174" t="s">
        <v>616</v>
      </c>
      <c r="FI110" s="174" t="s">
        <v>1141</v>
      </c>
      <c r="HA110" s="174">
        <v>41</v>
      </c>
      <c r="HB110" s="197">
        <v>107</v>
      </c>
      <c r="HC110" s="194">
        <v>74</v>
      </c>
      <c r="HD110" s="238">
        <v>98.5</v>
      </c>
      <c r="HE110" s="236">
        <v>25</v>
      </c>
      <c r="HF110" s="183">
        <v>172</v>
      </c>
      <c r="HG110" s="193" t="e">
        <f t="shared" si="11"/>
        <v>#N/A</v>
      </c>
      <c r="HH110" s="192" t="e">
        <f t="shared" si="12"/>
        <v>#N/A</v>
      </c>
      <c r="HI110" s="198">
        <v>25</v>
      </c>
      <c r="HJ110" s="185">
        <v>143.5</v>
      </c>
      <c r="HK110" s="174">
        <v>108</v>
      </c>
      <c r="HL110" s="174">
        <v>454</v>
      </c>
      <c r="HM110" s="174">
        <v>492</v>
      </c>
      <c r="HN110" s="174">
        <v>394</v>
      </c>
      <c r="HO110" s="174">
        <v>228</v>
      </c>
      <c r="HP110" s="174">
        <v>218</v>
      </c>
      <c r="HQ110" s="174">
        <v>208</v>
      </c>
      <c r="HR110" s="174">
        <v>198</v>
      </c>
      <c r="HS110" s="174">
        <v>394</v>
      </c>
      <c r="HT110" s="174">
        <v>384</v>
      </c>
      <c r="HU110" s="174">
        <v>208</v>
      </c>
      <c r="HV110" s="174">
        <v>286</v>
      </c>
      <c r="HW110" s="174">
        <v>198</v>
      </c>
      <c r="HX110" s="174">
        <v>188</v>
      </c>
      <c r="HY110" s="174">
        <v>178</v>
      </c>
      <c r="HZ110" s="174">
        <v>168</v>
      </c>
      <c r="IA110" s="174">
        <v>276</v>
      </c>
      <c r="IB110" s="174">
        <v>256</v>
      </c>
      <c r="IC110" s="174">
        <v>168</v>
      </c>
      <c r="ID110" s="174">
        <v>138</v>
      </c>
      <c r="IE110" s="174">
        <v>118</v>
      </c>
      <c r="IF110" s="174">
        <v>110</v>
      </c>
    </row>
    <row r="111" spans="1:248" ht="13.35" customHeight="1" thickBot="1" x14ac:dyDescent="0.25">
      <c r="A111" s="183">
        <f t="shared" si="9"/>
        <v>110</v>
      </c>
      <c r="B111" s="184">
        <f t="shared" si="16"/>
        <v>30</v>
      </c>
      <c r="C111" s="183">
        <f t="shared" si="15"/>
        <v>490</v>
      </c>
      <c r="D111" s="174">
        <v>54</v>
      </c>
      <c r="E111" s="189" t="s">
        <v>734</v>
      </c>
      <c r="F111" s="174">
        <v>20</v>
      </c>
      <c r="G111" s="174">
        <v>10</v>
      </c>
      <c r="H111" s="174">
        <v>15</v>
      </c>
      <c r="J111" s="174">
        <v>5</v>
      </c>
      <c r="M111" s="174">
        <v>5</v>
      </c>
      <c r="T111" s="174">
        <v>5</v>
      </c>
      <c r="U111" s="174">
        <v>10</v>
      </c>
      <c r="V111" s="174">
        <v>5</v>
      </c>
      <c r="W111" s="174">
        <v>5</v>
      </c>
      <c r="X111" s="174">
        <v>5</v>
      </c>
      <c r="Y111" s="174">
        <v>5</v>
      </c>
      <c r="AC111" s="174">
        <v>5</v>
      </c>
      <c r="AD111" s="174">
        <v>10</v>
      </c>
      <c r="AH111" s="174">
        <v>10</v>
      </c>
      <c r="AJ111" s="174">
        <v>10</v>
      </c>
      <c r="AQ111" s="174">
        <v>10</v>
      </c>
      <c r="AU111" s="174">
        <v>10</v>
      </c>
      <c r="AX111" s="174">
        <v>5</v>
      </c>
      <c r="AY111" s="174">
        <v>10</v>
      </c>
      <c r="AZ111" s="174">
        <v>5</v>
      </c>
      <c r="BA111" s="174">
        <v>5</v>
      </c>
      <c r="BB111" s="174">
        <v>10</v>
      </c>
      <c r="BC111" s="174">
        <v>5</v>
      </c>
      <c r="BD111" s="174">
        <v>10</v>
      </c>
      <c r="BE111" s="174">
        <v>5</v>
      </c>
      <c r="BF111" s="174">
        <v>10</v>
      </c>
      <c r="BH111" s="174">
        <v>5</v>
      </c>
      <c r="BI111" s="174">
        <v>10</v>
      </c>
      <c r="BK111" s="174">
        <v>5</v>
      </c>
      <c r="BM111" s="174">
        <v>5</v>
      </c>
      <c r="BN111" s="174">
        <v>10</v>
      </c>
      <c r="BO111" s="174">
        <v>10</v>
      </c>
      <c r="BP111" s="174">
        <v>10</v>
      </c>
      <c r="BT111" s="174">
        <v>5</v>
      </c>
      <c r="BU111" s="174">
        <v>5</v>
      </c>
      <c r="BV111" s="174">
        <v>10</v>
      </c>
      <c r="BW111" s="174">
        <v>10</v>
      </c>
      <c r="BX111" s="174">
        <v>10</v>
      </c>
      <c r="BZ111" s="174">
        <v>5</v>
      </c>
      <c r="CA111" s="174">
        <v>5</v>
      </c>
      <c r="CD111" s="174">
        <v>5</v>
      </c>
      <c r="CE111" s="174">
        <v>5</v>
      </c>
      <c r="CF111" s="174">
        <v>10</v>
      </c>
      <c r="CG111" s="174">
        <v>5</v>
      </c>
      <c r="CH111" s="174">
        <v>10</v>
      </c>
      <c r="CI111" s="174">
        <v>10</v>
      </c>
      <c r="CJ111" s="174">
        <v>5</v>
      </c>
      <c r="CK111" s="174">
        <v>10</v>
      </c>
      <c r="CL111" s="174">
        <v>5</v>
      </c>
      <c r="CM111" s="174">
        <v>10</v>
      </c>
      <c r="CO111" s="174">
        <v>15</v>
      </c>
      <c r="CP111" s="174">
        <v>10</v>
      </c>
      <c r="CQ111" s="174">
        <v>10</v>
      </c>
      <c r="CS111" s="174">
        <v>15</v>
      </c>
      <c r="CT111" s="174">
        <v>10</v>
      </c>
      <c r="CU111" s="174">
        <v>5</v>
      </c>
      <c r="CV111" s="174">
        <v>10</v>
      </c>
      <c r="CY111" s="174">
        <v>5</v>
      </c>
      <c r="DA111" s="174">
        <v>15</v>
      </c>
      <c r="DC111" s="174">
        <v>5</v>
      </c>
      <c r="EE111" s="203">
        <v>1.476400000000001</v>
      </c>
      <c r="EF111" s="174">
        <v>-10</v>
      </c>
      <c r="ER111" s="174" t="s">
        <v>1179</v>
      </c>
      <c r="ES111" s="174" t="s">
        <v>1179</v>
      </c>
      <c r="EU111" s="174" t="s">
        <v>1179</v>
      </c>
      <c r="EX111" s="174" t="s">
        <v>1389</v>
      </c>
      <c r="EY111" s="174" t="s">
        <v>1179</v>
      </c>
      <c r="EZ111" s="174" t="s">
        <v>1179</v>
      </c>
      <c r="FA111" s="174" t="s">
        <v>1179</v>
      </c>
      <c r="FD111" s="174" t="s">
        <v>1232</v>
      </c>
      <c r="FI111" s="174" t="s">
        <v>1390</v>
      </c>
      <c r="HA111" s="174">
        <v>42</v>
      </c>
      <c r="HB111" s="197">
        <v>108</v>
      </c>
      <c r="HC111" s="194">
        <v>74</v>
      </c>
      <c r="HD111" s="238">
        <v>99</v>
      </c>
      <c r="HE111" s="236">
        <v>25</v>
      </c>
      <c r="HF111" s="183">
        <v>173</v>
      </c>
      <c r="HG111" s="193" t="e">
        <f t="shared" si="11"/>
        <v>#N/A</v>
      </c>
      <c r="HH111" s="192" t="e">
        <f t="shared" si="12"/>
        <v>#N/A</v>
      </c>
      <c r="HI111" s="198">
        <v>25</v>
      </c>
      <c r="HJ111" s="185">
        <v>144</v>
      </c>
      <c r="HK111" s="174">
        <v>109</v>
      </c>
      <c r="HL111" s="174">
        <v>457</v>
      </c>
      <c r="HM111" s="174">
        <v>496</v>
      </c>
      <c r="HN111" s="174">
        <v>397</v>
      </c>
      <c r="HO111" s="174">
        <v>229</v>
      </c>
      <c r="HP111" s="174">
        <v>219</v>
      </c>
      <c r="HQ111" s="174">
        <v>209</v>
      </c>
      <c r="HR111" s="174">
        <v>199</v>
      </c>
      <c r="HS111" s="174">
        <v>397</v>
      </c>
      <c r="HT111" s="174">
        <v>387</v>
      </c>
      <c r="HU111" s="174">
        <v>209</v>
      </c>
      <c r="HV111" s="174">
        <v>288</v>
      </c>
      <c r="HW111" s="174">
        <v>199</v>
      </c>
      <c r="HX111" s="174">
        <v>189</v>
      </c>
      <c r="HY111" s="174">
        <v>179</v>
      </c>
      <c r="HZ111" s="174">
        <v>169</v>
      </c>
      <c r="IA111" s="174">
        <v>278</v>
      </c>
      <c r="IB111" s="174">
        <v>258</v>
      </c>
      <c r="IC111" s="174">
        <v>169</v>
      </c>
      <c r="ID111" s="174">
        <v>139</v>
      </c>
      <c r="IE111" s="174">
        <v>119</v>
      </c>
      <c r="IF111" s="174">
        <v>111</v>
      </c>
    </row>
    <row r="112" spans="1:248" ht="13.35" customHeight="1" thickBot="1" x14ac:dyDescent="0.25">
      <c r="A112" s="183">
        <f t="shared" si="9"/>
        <v>111</v>
      </c>
      <c r="B112" s="184">
        <f t="shared" si="16"/>
        <v>32</v>
      </c>
      <c r="C112" s="183">
        <f t="shared" si="15"/>
        <v>531</v>
      </c>
      <c r="D112" s="174">
        <v>55</v>
      </c>
      <c r="E112" s="189" t="s">
        <v>739</v>
      </c>
      <c r="F112" s="174">
        <v>20</v>
      </c>
      <c r="G112" s="174">
        <v>10</v>
      </c>
      <c r="H112" s="174">
        <v>15</v>
      </c>
      <c r="J112" s="174">
        <v>5</v>
      </c>
      <c r="M112" s="174">
        <v>5</v>
      </c>
      <c r="T112" s="174">
        <v>5</v>
      </c>
      <c r="U112" s="174">
        <v>10</v>
      </c>
      <c r="V112" s="174">
        <v>5</v>
      </c>
      <c r="W112" s="174">
        <v>5</v>
      </c>
      <c r="X112" s="174">
        <v>5</v>
      </c>
      <c r="Y112" s="174">
        <v>5</v>
      </c>
      <c r="AC112" s="174">
        <v>5</v>
      </c>
      <c r="AD112" s="174">
        <v>10</v>
      </c>
      <c r="AH112" s="174">
        <v>10</v>
      </c>
      <c r="AJ112" s="174">
        <v>10</v>
      </c>
      <c r="AQ112" s="174">
        <v>10</v>
      </c>
      <c r="AU112" s="174">
        <v>10</v>
      </c>
      <c r="AX112" s="174">
        <v>5</v>
      </c>
      <c r="AY112" s="174">
        <v>10</v>
      </c>
      <c r="AZ112" s="174">
        <v>5</v>
      </c>
      <c r="BA112" s="174">
        <v>5</v>
      </c>
      <c r="BB112" s="174">
        <v>10</v>
      </c>
      <c r="BD112" s="174">
        <v>10</v>
      </c>
      <c r="BF112" s="174">
        <v>10</v>
      </c>
      <c r="BH112" s="174">
        <v>5</v>
      </c>
      <c r="BI112" s="174">
        <v>10</v>
      </c>
      <c r="BK112" s="174">
        <v>5</v>
      </c>
      <c r="BN112" s="174">
        <v>10</v>
      </c>
      <c r="BP112" s="174">
        <v>10</v>
      </c>
      <c r="BT112" s="174">
        <v>5</v>
      </c>
      <c r="BU112" s="174">
        <v>5</v>
      </c>
      <c r="BV112" s="174">
        <v>10</v>
      </c>
      <c r="BW112" s="174">
        <v>10</v>
      </c>
      <c r="BZ112" s="174">
        <v>5</v>
      </c>
      <c r="CA112" s="174">
        <v>5</v>
      </c>
      <c r="CD112" s="174">
        <v>5</v>
      </c>
      <c r="CE112" s="174">
        <v>5</v>
      </c>
      <c r="CF112" s="174">
        <v>10</v>
      </c>
      <c r="CG112" s="174">
        <v>5</v>
      </c>
      <c r="CH112" s="174">
        <v>10</v>
      </c>
      <c r="CI112" s="174">
        <v>10</v>
      </c>
      <c r="CJ112" s="174">
        <v>5</v>
      </c>
      <c r="CK112" s="174">
        <v>10</v>
      </c>
      <c r="CL112" s="174">
        <v>5</v>
      </c>
      <c r="CM112" s="174">
        <v>10</v>
      </c>
      <c r="CO112" s="174">
        <v>15</v>
      </c>
      <c r="CQ112" s="174">
        <v>10</v>
      </c>
      <c r="CS112" s="174">
        <v>15</v>
      </c>
      <c r="CT112" s="174">
        <v>10</v>
      </c>
      <c r="CU112" s="174">
        <v>5</v>
      </c>
      <c r="CV112" s="174">
        <v>10</v>
      </c>
      <c r="CY112" s="174">
        <v>5</v>
      </c>
      <c r="DA112" s="174">
        <v>15</v>
      </c>
      <c r="DC112" s="174">
        <v>5</v>
      </c>
      <c r="EE112" s="203">
        <v>1.5018000000000009</v>
      </c>
      <c r="EF112" s="174">
        <v>-10</v>
      </c>
      <c r="ER112" s="174" t="s">
        <v>1141</v>
      </c>
      <c r="ES112" s="174" t="s">
        <v>1141</v>
      </c>
      <c r="EU112" s="174" t="s">
        <v>1141</v>
      </c>
      <c r="EX112" s="174" t="s">
        <v>1391</v>
      </c>
      <c r="EY112" s="174" t="s">
        <v>1141</v>
      </c>
      <c r="EZ112" s="174" t="s">
        <v>1141</v>
      </c>
      <c r="FA112" s="174" t="s">
        <v>1141</v>
      </c>
      <c r="FD112" s="174" t="s">
        <v>1392</v>
      </c>
      <c r="FI112" s="174" t="s">
        <v>1393</v>
      </c>
      <c r="HA112" s="174">
        <v>43</v>
      </c>
      <c r="HB112" s="197">
        <v>109</v>
      </c>
      <c r="HC112" s="194">
        <v>75</v>
      </c>
      <c r="HD112" s="238">
        <v>99.5</v>
      </c>
      <c r="HE112" s="236">
        <v>25</v>
      </c>
      <c r="HF112" s="183">
        <v>174</v>
      </c>
      <c r="HG112" s="193" t="e">
        <f t="shared" si="11"/>
        <v>#N/A</v>
      </c>
      <c r="HH112" s="192" t="e">
        <f t="shared" si="12"/>
        <v>#N/A</v>
      </c>
      <c r="HI112" s="198">
        <v>25</v>
      </c>
      <c r="HJ112" s="185">
        <v>144.5</v>
      </c>
      <c r="HK112" s="182">
        <v>110</v>
      </c>
      <c r="HL112" s="182">
        <v>460</v>
      </c>
      <c r="HM112" s="182">
        <v>500</v>
      </c>
      <c r="HN112" s="182">
        <v>400</v>
      </c>
      <c r="HO112" s="182">
        <v>230</v>
      </c>
      <c r="HP112" s="182">
        <v>220</v>
      </c>
      <c r="HQ112" s="182">
        <v>210</v>
      </c>
      <c r="HR112" s="182">
        <v>200</v>
      </c>
      <c r="HS112" s="174">
        <v>400</v>
      </c>
      <c r="HT112" s="174">
        <v>390</v>
      </c>
      <c r="HU112" s="182">
        <v>210</v>
      </c>
      <c r="HV112" s="182">
        <v>290</v>
      </c>
      <c r="HW112" s="182">
        <v>200</v>
      </c>
      <c r="HX112" s="182">
        <v>190</v>
      </c>
      <c r="HY112" s="182">
        <v>180</v>
      </c>
      <c r="HZ112" s="182">
        <v>170</v>
      </c>
      <c r="IA112" s="174">
        <v>280</v>
      </c>
      <c r="IB112" s="182">
        <v>260</v>
      </c>
      <c r="IC112" s="182">
        <v>170</v>
      </c>
      <c r="ID112" s="182">
        <v>140</v>
      </c>
      <c r="IE112" s="182">
        <v>120</v>
      </c>
      <c r="IF112" s="182">
        <v>112</v>
      </c>
    </row>
    <row r="113" spans="1:240" ht="13.35" customHeight="1" thickBot="1" x14ac:dyDescent="0.25">
      <c r="A113" s="183">
        <f t="shared" si="9"/>
        <v>112</v>
      </c>
      <c r="B113" s="184">
        <f t="shared" si="16"/>
        <v>34</v>
      </c>
      <c r="C113" s="183">
        <f t="shared" si="15"/>
        <v>574</v>
      </c>
      <c r="D113" s="174">
        <v>56</v>
      </c>
      <c r="E113" s="189" t="s">
        <v>742</v>
      </c>
      <c r="F113" s="174">
        <v>20</v>
      </c>
      <c r="G113" s="174">
        <v>10</v>
      </c>
      <c r="H113" s="174">
        <v>15</v>
      </c>
      <c r="J113" s="174">
        <v>5</v>
      </c>
      <c r="M113" s="174">
        <v>5</v>
      </c>
      <c r="T113" s="174">
        <v>5</v>
      </c>
      <c r="U113" s="174">
        <v>10</v>
      </c>
      <c r="V113" s="174">
        <v>5</v>
      </c>
      <c r="W113" s="174">
        <v>5</v>
      </c>
      <c r="X113" s="174">
        <v>5</v>
      </c>
      <c r="Y113" s="174">
        <v>5</v>
      </c>
      <c r="AC113" s="174">
        <v>5</v>
      </c>
      <c r="AD113" s="174">
        <v>10</v>
      </c>
      <c r="AH113" s="174">
        <v>10</v>
      </c>
      <c r="AJ113" s="174">
        <v>10</v>
      </c>
      <c r="AQ113" s="174">
        <v>10</v>
      </c>
      <c r="AU113" s="174">
        <v>10</v>
      </c>
      <c r="AX113" s="174">
        <v>5</v>
      </c>
      <c r="AY113" s="174">
        <v>10</v>
      </c>
      <c r="AZ113" s="174">
        <v>5</v>
      </c>
      <c r="BA113" s="174">
        <v>5</v>
      </c>
      <c r="BB113" s="174">
        <v>10</v>
      </c>
      <c r="BD113" s="174">
        <v>10</v>
      </c>
      <c r="BF113" s="174">
        <v>10</v>
      </c>
      <c r="BH113" s="174">
        <v>5</v>
      </c>
      <c r="BI113" s="174">
        <v>10</v>
      </c>
      <c r="BK113" s="174">
        <v>5</v>
      </c>
      <c r="BN113" s="174">
        <v>10</v>
      </c>
      <c r="BP113" s="174">
        <v>10</v>
      </c>
      <c r="BT113" s="174">
        <v>5</v>
      </c>
      <c r="BU113" s="174">
        <v>5</v>
      </c>
      <c r="BV113" s="174">
        <v>10</v>
      </c>
      <c r="BW113" s="174">
        <v>10</v>
      </c>
      <c r="BZ113" s="174">
        <v>5</v>
      </c>
      <c r="CA113" s="174">
        <v>5</v>
      </c>
      <c r="CD113" s="174">
        <v>5</v>
      </c>
      <c r="CE113" s="174">
        <v>5</v>
      </c>
      <c r="CF113" s="174">
        <v>10</v>
      </c>
      <c r="CG113" s="174">
        <v>5</v>
      </c>
      <c r="CH113" s="174">
        <v>10</v>
      </c>
      <c r="CI113" s="174">
        <v>10</v>
      </c>
      <c r="CJ113" s="174">
        <v>5</v>
      </c>
      <c r="CK113" s="174">
        <v>10</v>
      </c>
      <c r="CL113" s="174">
        <v>5</v>
      </c>
      <c r="CM113" s="174">
        <v>10</v>
      </c>
      <c r="CO113" s="174">
        <v>15</v>
      </c>
      <c r="CQ113" s="174">
        <v>10</v>
      </c>
      <c r="CS113" s="174">
        <v>15</v>
      </c>
      <c r="CT113" s="174">
        <v>10</v>
      </c>
      <c r="CU113" s="174">
        <v>5</v>
      </c>
      <c r="CV113" s="174">
        <v>10</v>
      </c>
      <c r="CY113" s="174">
        <v>5</v>
      </c>
      <c r="DA113" s="174">
        <v>15</v>
      </c>
      <c r="DC113" s="174">
        <v>5</v>
      </c>
      <c r="EE113" s="203">
        <v>1.5272000000000008</v>
      </c>
      <c r="EF113" s="174">
        <v>-10</v>
      </c>
      <c r="EX113" s="174" t="s">
        <v>1394</v>
      </c>
      <c r="FD113" s="174" t="s">
        <v>1395</v>
      </c>
      <c r="FI113" s="174" t="s">
        <v>1396</v>
      </c>
      <c r="HA113" s="174">
        <v>44</v>
      </c>
      <c r="HB113" s="197">
        <v>110</v>
      </c>
      <c r="HC113" s="194">
        <v>75</v>
      </c>
      <c r="HD113" s="238">
        <v>100</v>
      </c>
      <c r="HE113" s="236">
        <v>25</v>
      </c>
      <c r="HF113" s="183">
        <v>175</v>
      </c>
      <c r="HG113" s="193" t="e">
        <f t="shared" si="11"/>
        <v>#N/A</v>
      </c>
      <c r="HH113" s="192" t="e">
        <f t="shared" si="12"/>
        <v>#N/A</v>
      </c>
      <c r="HI113" s="198">
        <v>25</v>
      </c>
      <c r="HJ113" s="185">
        <v>145</v>
      </c>
      <c r="HK113" s="174">
        <v>111</v>
      </c>
      <c r="HL113" s="174">
        <v>463</v>
      </c>
      <c r="HM113" s="174">
        <v>504</v>
      </c>
      <c r="HN113" s="174">
        <v>403</v>
      </c>
      <c r="HO113" s="174">
        <v>231</v>
      </c>
      <c r="HP113" s="174">
        <v>221</v>
      </c>
      <c r="HQ113" s="174">
        <v>211</v>
      </c>
      <c r="HR113" s="174">
        <v>201</v>
      </c>
      <c r="HS113" s="174">
        <v>403</v>
      </c>
      <c r="HT113" s="174">
        <v>393</v>
      </c>
      <c r="HU113" s="174">
        <v>211</v>
      </c>
      <c r="HV113" s="174">
        <v>292</v>
      </c>
      <c r="HW113" s="174">
        <v>201</v>
      </c>
      <c r="HX113" s="174">
        <v>191</v>
      </c>
      <c r="HY113" s="174">
        <v>181</v>
      </c>
      <c r="HZ113" s="174">
        <v>171</v>
      </c>
      <c r="IA113" s="174">
        <v>282</v>
      </c>
      <c r="IB113" s="174">
        <v>262</v>
      </c>
      <c r="IC113" s="174">
        <v>171</v>
      </c>
      <c r="ID113" s="174">
        <v>141</v>
      </c>
      <c r="IE113" s="174">
        <v>121</v>
      </c>
      <c r="IF113" s="174">
        <v>113</v>
      </c>
    </row>
    <row r="114" spans="1:240" ht="13.35" customHeight="1" thickBot="1" x14ac:dyDescent="0.25">
      <c r="A114" s="183">
        <f t="shared" si="9"/>
        <v>113</v>
      </c>
      <c r="B114" s="184">
        <f t="shared" si="16"/>
        <v>36</v>
      </c>
      <c r="C114" s="183">
        <f t="shared" si="15"/>
        <v>619</v>
      </c>
      <c r="D114" s="174">
        <v>57</v>
      </c>
      <c r="E114" s="189" t="s">
        <v>744</v>
      </c>
      <c r="F114" s="174">
        <v>20</v>
      </c>
      <c r="G114" s="174">
        <v>10</v>
      </c>
      <c r="H114" s="174">
        <v>15</v>
      </c>
      <c r="J114" s="174">
        <v>5</v>
      </c>
      <c r="M114" s="174">
        <v>5</v>
      </c>
      <c r="T114" s="174">
        <v>5</v>
      </c>
      <c r="U114" s="174">
        <v>10</v>
      </c>
      <c r="V114" s="174">
        <v>5</v>
      </c>
      <c r="W114" s="174">
        <v>5</v>
      </c>
      <c r="X114" s="174">
        <v>5</v>
      </c>
      <c r="Y114" s="174">
        <v>5</v>
      </c>
      <c r="AC114" s="174">
        <v>5</v>
      </c>
      <c r="AD114" s="174">
        <v>10</v>
      </c>
      <c r="AH114" s="174">
        <v>10</v>
      </c>
      <c r="AJ114" s="174">
        <v>10</v>
      </c>
      <c r="AQ114" s="174">
        <v>10</v>
      </c>
      <c r="AU114" s="174">
        <v>10</v>
      </c>
      <c r="AX114" s="174">
        <v>5</v>
      </c>
      <c r="AY114" s="174">
        <v>10</v>
      </c>
      <c r="AZ114" s="174">
        <v>5</v>
      </c>
      <c r="BA114" s="174">
        <v>5</v>
      </c>
      <c r="BB114" s="174">
        <v>10</v>
      </c>
      <c r="BD114" s="174">
        <v>10</v>
      </c>
      <c r="BF114" s="174">
        <v>10</v>
      </c>
      <c r="BH114" s="174">
        <v>5</v>
      </c>
      <c r="BI114" s="174">
        <v>10</v>
      </c>
      <c r="BK114" s="174">
        <v>5</v>
      </c>
      <c r="BM114" s="174">
        <v>5</v>
      </c>
      <c r="BN114" s="174">
        <v>10</v>
      </c>
      <c r="BO114" s="174">
        <v>10</v>
      </c>
      <c r="BP114" s="174">
        <v>10</v>
      </c>
      <c r="BT114" s="174">
        <v>5</v>
      </c>
      <c r="BU114" s="174">
        <v>5</v>
      </c>
      <c r="BV114" s="174">
        <v>10</v>
      </c>
      <c r="BW114" s="174">
        <v>10</v>
      </c>
      <c r="BZ114" s="174">
        <v>5</v>
      </c>
      <c r="CA114" s="174">
        <v>5</v>
      </c>
      <c r="CD114" s="174">
        <v>5</v>
      </c>
      <c r="CE114" s="174">
        <v>5</v>
      </c>
      <c r="CF114" s="174">
        <v>10</v>
      </c>
      <c r="CG114" s="174">
        <v>5</v>
      </c>
      <c r="CH114" s="174">
        <v>10</v>
      </c>
      <c r="CI114" s="174">
        <v>10</v>
      </c>
      <c r="CJ114" s="174">
        <v>5</v>
      </c>
      <c r="CK114" s="174">
        <v>10</v>
      </c>
      <c r="CL114" s="174">
        <v>5</v>
      </c>
      <c r="CM114" s="174">
        <v>10</v>
      </c>
      <c r="CO114" s="174">
        <v>15</v>
      </c>
      <c r="CP114" s="174">
        <v>10</v>
      </c>
      <c r="CQ114" s="174">
        <v>10</v>
      </c>
      <c r="CS114" s="174">
        <v>15</v>
      </c>
      <c r="CT114" s="174">
        <v>10</v>
      </c>
      <c r="CU114" s="174">
        <v>5</v>
      </c>
      <c r="CV114" s="174">
        <v>10</v>
      </c>
      <c r="CY114" s="174">
        <v>5</v>
      </c>
      <c r="DA114" s="174">
        <v>15</v>
      </c>
      <c r="DC114" s="174">
        <v>5</v>
      </c>
      <c r="EE114" s="203">
        <v>1.5526000000000009</v>
      </c>
      <c r="EF114" s="174">
        <v>-10</v>
      </c>
      <c r="FD114" s="174" t="s">
        <v>1141</v>
      </c>
      <c r="FI114" s="174" t="s">
        <v>1397</v>
      </c>
      <c r="HA114" s="174">
        <v>45</v>
      </c>
      <c r="HB114" s="197">
        <v>111</v>
      </c>
      <c r="HC114" s="194">
        <v>76</v>
      </c>
      <c r="HD114" s="238">
        <v>100.5</v>
      </c>
      <c r="HE114" s="236">
        <v>25</v>
      </c>
      <c r="HF114" s="183">
        <v>176</v>
      </c>
      <c r="HG114" s="193" t="e">
        <f t="shared" si="11"/>
        <v>#N/A</v>
      </c>
      <c r="HH114" s="192" t="e">
        <f t="shared" si="12"/>
        <v>#N/A</v>
      </c>
      <c r="HI114" s="198">
        <v>25</v>
      </c>
      <c r="HJ114" s="185">
        <v>145.5</v>
      </c>
      <c r="HK114" s="174">
        <v>112</v>
      </c>
      <c r="HL114" s="174">
        <v>466</v>
      </c>
      <c r="HM114" s="174">
        <v>508</v>
      </c>
      <c r="HN114" s="174">
        <v>406</v>
      </c>
      <c r="HO114" s="174">
        <v>232</v>
      </c>
      <c r="HP114" s="174">
        <v>222</v>
      </c>
      <c r="HQ114" s="174">
        <v>212</v>
      </c>
      <c r="HR114" s="174">
        <v>202</v>
      </c>
      <c r="HS114" s="174">
        <v>406</v>
      </c>
      <c r="HT114" s="174">
        <v>396</v>
      </c>
      <c r="HU114" s="174">
        <v>212</v>
      </c>
      <c r="HV114" s="174">
        <v>294</v>
      </c>
      <c r="HW114" s="174">
        <v>202</v>
      </c>
      <c r="HX114" s="174">
        <v>192</v>
      </c>
      <c r="HY114" s="174">
        <v>182</v>
      </c>
      <c r="HZ114" s="174">
        <v>172</v>
      </c>
      <c r="IA114" s="174">
        <v>284</v>
      </c>
      <c r="IB114" s="174">
        <v>264</v>
      </c>
      <c r="IC114" s="174">
        <v>172</v>
      </c>
      <c r="ID114" s="174">
        <v>142</v>
      </c>
      <c r="IE114" s="174">
        <v>122</v>
      </c>
      <c r="IF114" s="174">
        <v>114</v>
      </c>
    </row>
    <row r="115" spans="1:240" ht="13.35" customHeight="1" thickBot="1" x14ac:dyDescent="0.25">
      <c r="A115" s="183">
        <f t="shared" si="9"/>
        <v>114</v>
      </c>
      <c r="B115" s="184">
        <f t="shared" si="16"/>
        <v>38</v>
      </c>
      <c r="C115" s="183">
        <f t="shared" si="15"/>
        <v>666</v>
      </c>
      <c r="E115" s="174" t="s">
        <v>1398</v>
      </c>
      <c r="U115" s="174">
        <v>20</v>
      </c>
      <c r="EE115" s="203">
        <v>1.5780000000000007</v>
      </c>
      <c r="EF115" s="174">
        <v>-10</v>
      </c>
      <c r="HA115" s="174">
        <v>46</v>
      </c>
      <c r="HB115" s="197">
        <v>112</v>
      </c>
      <c r="HC115" s="194">
        <v>76</v>
      </c>
      <c r="HD115" s="238">
        <v>101</v>
      </c>
      <c r="HE115" s="236">
        <v>25</v>
      </c>
      <c r="HF115" s="183">
        <v>177</v>
      </c>
      <c r="HG115" s="193" t="e">
        <f t="shared" si="11"/>
        <v>#N/A</v>
      </c>
      <c r="HH115" s="192" t="e">
        <f t="shared" si="12"/>
        <v>#N/A</v>
      </c>
      <c r="HI115" s="198">
        <v>25</v>
      </c>
      <c r="HJ115" s="185">
        <v>146</v>
      </c>
      <c r="HK115" s="174">
        <v>113</v>
      </c>
      <c r="HL115" s="174">
        <v>469</v>
      </c>
      <c r="HM115" s="174">
        <v>512</v>
      </c>
      <c r="HN115" s="174">
        <v>409</v>
      </c>
      <c r="HO115" s="174">
        <v>233</v>
      </c>
      <c r="HP115" s="174">
        <v>223</v>
      </c>
      <c r="HQ115" s="174">
        <v>213</v>
      </c>
      <c r="HR115" s="174">
        <v>203</v>
      </c>
      <c r="HS115" s="174">
        <v>409</v>
      </c>
      <c r="HT115" s="174">
        <v>399</v>
      </c>
      <c r="HU115" s="174">
        <v>213</v>
      </c>
      <c r="HV115" s="174">
        <v>296</v>
      </c>
      <c r="HW115" s="174">
        <v>203</v>
      </c>
      <c r="HX115" s="174">
        <v>193</v>
      </c>
      <c r="HY115" s="174">
        <v>183</v>
      </c>
      <c r="HZ115" s="174">
        <v>173</v>
      </c>
      <c r="IA115" s="174">
        <v>286</v>
      </c>
      <c r="IB115" s="174">
        <v>266</v>
      </c>
      <c r="IC115" s="174">
        <v>173</v>
      </c>
      <c r="ID115" s="174">
        <v>143</v>
      </c>
      <c r="IE115" s="174">
        <v>123</v>
      </c>
      <c r="IF115" s="174">
        <v>115</v>
      </c>
    </row>
    <row r="116" spans="1:240" ht="13.35" customHeight="1" thickBot="1" x14ac:dyDescent="0.25">
      <c r="A116" s="183">
        <f t="shared" si="9"/>
        <v>115</v>
      </c>
      <c r="B116" s="184">
        <f t="shared" si="16"/>
        <v>40</v>
      </c>
      <c r="C116" s="183">
        <f t="shared" si="15"/>
        <v>715</v>
      </c>
      <c r="EE116" s="203">
        <v>1.6034000000000006</v>
      </c>
      <c r="EF116" s="174">
        <v>-10</v>
      </c>
      <c r="HA116" s="174">
        <v>47</v>
      </c>
      <c r="HB116" s="197">
        <v>113</v>
      </c>
      <c r="HC116" s="194">
        <v>77</v>
      </c>
      <c r="HD116" s="238">
        <v>101.5</v>
      </c>
      <c r="HE116" s="236">
        <v>25</v>
      </c>
      <c r="HF116" s="183">
        <v>178</v>
      </c>
      <c r="HG116" s="193" t="e">
        <f t="shared" si="11"/>
        <v>#N/A</v>
      </c>
      <c r="HH116" s="192" t="e">
        <f t="shared" si="12"/>
        <v>#N/A</v>
      </c>
      <c r="HI116" s="198">
        <v>25</v>
      </c>
      <c r="HJ116" s="185">
        <v>146.5</v>
      </c>
      <c r="HK116" s="174">
        <v>114</v>
      </c>
      <c r="HL116" s="174">
        <v>472</v>
      </c>
      <c r="HM116" s="174">
        <v>516</v>
      </c>
      <c r="HN116" s="174">
        <v>412</v>
      </c>
      <c r="HO116" s="174">
        <v>234</v>
      </c>
      <c r="HP116" s="174">
        <v>224</v>
      </c>
      <c r="HQ116" s="174">
        <v>214</v>
      </c>
      <c r="HR116" s="174">
        <v>204</v>
      </c>
      <c r="HS116" s="174">
        <v>412</v>
      </c>
      <c r="HT116" s="174">
        <v>402</v>
      </c>
      <c r="HU116" s="174">
        <v>214</v>
      </c>
      <c r="HV116" s="174">
        <v>298</v>
      </c>
      <c r="HW116" s="174">
        <v>204</v>
      </c>
      <c r="HX116" s="174">
        <v>194</v>
      </c>
      <c r="HY116" s="174">
        <v>184</v>
      </c>
      <c r="HZ116" s="174">
        <v>174</v>
      </c>
      <c r="IA116" s="174">
        <v>288</v>
      </c>
      <c r="IB116" s="174">
        <v>268</v>
      </c>
      <c r="IC116" s="174">
        <v>174</v>
      </c>
      <c r="ID116" s="174">
        <v>144</v>
      </c>
      <c r="IE116" s="174">
        <v>124</v>
      </c>
      <c r="IF116" s="174">
        <v>116</v>
      </c>
    </row>
    <row r="117" spans="1:240" ht="13.35" customHeight="1" thickBot="1" x14ac:dyDescent="0.25">
      <c r="A117" s="183">
        <f t="shared" si="9"/>
        <v>116</v>
      </c>
      <c r="B117" s="184">
        <f t="shared" si="16"/>
        <v>42</v>
      </c>
      <c r="C117" s="183">
        <f t="shared" si="15"/>
        <v>766</v>
      </c>
      <c r="E117" s="206"/>
      <c r="F117" s="174" t="s">
        <v>782</v>
      </c>
      <c r="G117" s="174" t="s">
        <v>783</v>
      </c>
      <c r="H117" s="174" t="s">
        <v>784</v>
      </c>
      <c r="I117" s="174" t="s">
        <v>785</v>
      </c>
      <c r="J117" s="174" t="s">
        <v>786</v>
      </c>
      <c r="K117" s="174" t="s">
        <v>787</v>
      </c>
      <c r="L117" s="174" t="s">
        <v>788</v>
      </c>
      <c r="M117" s="174" t="s">
        <v>789</v>
      </c>
      <c r="N117" s="174" t="s">
        <v>790</v>
      </c>
      <c r="O117" s="174" t="s">
        <v>791</v>
      </c>
      <c r="P117" s="174" t="s">
        <v>792</v>
      </c>
      <c r="Q117" s="174" t="s">
        <v>793</v>
      </c>
      <c r="R117" s="174" t="s">
        <v>794</v>
      </c>
      <c r="S117" s="174" t="s">
        <v>182</v>
      </c>
      <c r="T117" s="174" t="s">
        <v>795</v>
      </c>
      <c r="U117" s="174" t="s">
        <v>796</v>
      </c>
      <c r="V117" s="174" t="s">
        <v>797</v>
      </c>
      <c r="W117" s="174" t="s">
        <v>798</v>
      </c>
      <c r="X117" s="174" t="s">
        <v>799</v>
      </c>
      <c r="Y117" s="174" t="s">
        <v>800</v>
      </c>
      <c r="AA117" s="174" t="str">
        <f>AA59</f>
        <v>Arcanist (AC)</v>
      </c>
      <c r="AB117" s="174" t="str">
        <f>AB59</f>
        <v>Wizard (AC)</v>
      </c>
      <c r="AC117" s="174" t="str">
        <f>AC59</f>
        <v>Chaotic (AC)</v>
      </c>
      <c r="AD117" s="174" t="str">
        <f>AD59</f>
        <v>Magehunter (AC)</v>
      </c>
      <c r="AF117" s="174" t="s">
        <v>805</v>
      </c>
      <c r="AG117" s="174" t="s">
        <v>806</v>
      </c>
      <c r="AH117" s="174" t="s">
        <v>807</v>
      </c>
      <c r="AJ117" s="174" t="s">
        <v>808</v>
      </c>
      <c r="AK117" s="174" t="s">
        <v>809</v>
      </c>
      <c r="AL117" s="174" t="s">
        <v>810</v>
      </c>
      <c r="AM117" s="174" t="s">
        <v>811</v>
      </c>
      <c r="AO117" s="174" t="s">
        <v>812</v>
      </c>
      <c r="AP117" s="174" t="s">
        <v>813</v>
      </c>
      <c r="AQ117" s="174" t="s">
        <v>814</v>
      </c>
      <c r="AS117" s="174" t="s">
        <v>815</v>
      </c>
      <c r="AT117" s="174" t="s">
        <v>816</v>
      </c>
      <c r="AU117" s="174" t="s">
        <v>817</v>
      </c>
      <c r="AV117" s="174" t="s">
        <v>818</v>
      </c>
      <c r="AW117" s="174" t="s">
        <v>819</v>
      </c>
      <c r="AX117" s="174" t="s">
        <v>820</v>
      </c>
      <c r="AY117" s="174" t="s">
        <v>821</v>
      </c>
      <c r="AZ117" s="174" t="s">
        <v>822</v>
      </c>
      <c r="BA117" s="174" t="str">
        <f t="shared" ref="BA117:CQ117" si="17">BA2</f>
        <v>Priest of Culture</v>
      </c>
      <c r="BB117" s="174" t="str">
        <f t="shared" si="17"/>
        <v>Priest of Darkness, Night</v>
      </c>
      <c r="BC117" s="174" t="str">
        <f t="shared" si="17"/>
        <v>Priest of Dawn</v>
      </c>
      <c r="BD117" s="174" t="str">
        <f t="shared" si="17"/>
        <v>Priest of Death</v>
      </c>
      <c r="BE117" s="174" t="str">
        <f t="shared" si="17"/>
        <v>Priest of Disease</v>
      </c>
      <c r="BF117" s="174" t="str">
        <f t="shared" si="17"/>
        <v>Priest of Earth</v>
      </c>
      <c r="BG117" s="174" t="str">
        <f t="shared" si="17"/>
        <v>Priest of Fate, Destiny</v>
      </c>
      <c r="BH117" s="174" t="str">
        <f t="shared" si="17"/>
        <v>Priest of Fertility</v>
      </c>
      <c r="BI117" s="174" t="str">
        <f t="shared" si="17"/>
        <v>Priest of Fire</v>
      </c>
      <c r="BJ117" s="174" t="str">
        <f t="shared" si="17"/>
        <v>Priest of Fortune, Luck</v>
      </c>
      <c r="BK117" s="174" t="str">
        <f t="shared" si="17"/>
        <v>Priest of Guardianship</v>
      </c>
      <c r="BL117" s="174" t="str">
        <f t="shared" si="17"/>
        <v>Priest of Healing</v>
      </c>
      <c r="BM117" s="174" t="str">
        <f t="shared" si="17"/>
        <v>Priest of Hunting</v>
      </c>
      <c r="BN117" s="174" t="str">
        <f t="shared" si="17"/>
        <v>Priest of Justice, Revenge</v>
      </c>
      <c r="BO117" s="174" t="str">
        <f t="shared" si="17"/>
        <v>Priest of Light</v>
      </c>
      <c r="BP117" s="174" t="str">
        <f t="shared" si="17"/>
        <v>Priest of Lightning</v>
      </c>
      <c r="BQ117" s="174" t="str">
        <f t="shared" si="17"/>
        <v>Priest of Literature</v>
      </c>
      <c r="BR117" s="174" t="str">
        <f t="shared" si="17"/>
        <v>Priest of Love</v>
      </c>
      <c r="BS117" s="174" t="str">
        <f t="shared" si="17"/>
        <v>Priest of Magic</v>
      </c>
      <c r="BT117" s="174" t="str">
        <f t="shared" si="17"/>
        <v>Priest of Marriage</v>
      </c>
      <c r="BU117" s="174" t="str">
        <f t="shared" si="17"/>
        <v>Priest of Messengers</v>
      </c>
      <c r="BV117" s="174" t="str">
        <f t="shared" si="17"/>
        <v>Priest of Metalwork</v>
      </c>
      <c r="BW117" s="174" t="str">
        <f t="shared" si="17"/>
        <v>Priest of Mischief/Trickery</v>
      </c>
      <c r="BX117" s="174" t="str">
        <f t="shared" si="17"/>
        <v>Priest of Moon</v>
      </c>
      <c r="BY117" s="174" t="str">
        <f t="shared" si="17"/>
        <v>Priest of Music, Dance</v>
      </c>
      <c r="BZ117" s="174" t="str">
        <f t="shared" si="17"/>
        <v>Priest of Nature</v>
      </c>
      <c r="CA117" s="174" t="str">
        <f t="shared" si="17"/>
        <v>Priest of Ocean, Rivers</v>
      </c>
      <c r="CB117" s="174" t="str">
        <f t="shared" si="17"/>
        <v>Priest of Oracles</v>
      </c>
      <c r="CC117" s="174" t="str">
        <f t="shared" si="17"/>
        <v>Priest of Peace</v>
      </c>
      <c r="CD117" s="174" t="str">
        <f t="shared" si="17"/>
        <v>Priest of Prosperity</v>
      </c>
      <c r="CE117" s="174" t="str">
        <f t="shared" si="17"/>
        <v>Priest of Redemption</v>
      </c>
      <c r="CF117" s="174" t="str">
        <f t="shared" si="17"/>
        <v>Priest of Rulership</v>
      </c>
      <c r="CG117" s="174" t="str">
        <f t="shared" si="17"/>
        <v>Priest of Seasons</v>
      </c>
      <c r="CH117" s="174" t="str">
        <f t="shared" si="17"/>
        <v>Priest of Sky, Weather</v>
      </c>
      <c r="CI117" s="174" t="str">
        <f t="shared" si="17"/>
        <v>Priest of Strength</v>
      </c>
      <c r="CJ117" s="174" t="str">
        <f t="shared" si="17"/>
        <v>Priest of Sun</v>
      </c>
      <c r="CK117" s="174" t="str">
        <f t="shared" si="17"/>
        <v>Priest of Thunder</v>
      </c>
      <c r="CL117" s="174" t="str">
        <f t="shared" si="17"/>
        <v>Priest of Time</v>
      </c>
      <c r="CM117" s="174" t="str">
        <f t="shared" si="17"/>
        <v>Priest of Trade</v>
      </c>
      <c r="CN117" s="174" t="str">
        <f t="shared" si="17"/>
        <v>Priest of Vegetation</v>
      </c>
      <c r="CO117" s="174" t="str">
        <f t="shared" si="17"/>
        <v>Priest of War</v>
      </c>
      <c r="CP117" s="174" t="str">
        <f t="shared" si="17"/>
        <v>Priest of Wind</v>
      </c>
      <c r="CQ117" s="174" t="str">
        <f t="shared" si="17"/>
        <v>Priest of Wisdom</v>
      </c>
      <c r="CS117" s="174" t="str">
        <f>CS59</f>
        <v>Barbarian (FRP)</v>
      </c>
      <c r="CT117" s="174" t="str">
        <f>CT59</f>
        <v>Outrider (FRP)</v>
      </c>
      <c r="CU117" s="174" t="str">
        <f>CU59</f>
        <v>Sage (FRP)</v>
      </c>
      <c r="CV117" s="174" t="str">
        <f>CV59</f>
        <v>Swashbuckler (FRP)</v>
      </c>
      <c r="CX117" s="174" t="s">
        <v>870</v>
      </c>
      <c r="CY117" s="174" t="s">
        <v>871</v>
      </c>
      <c r="CZ117" s="174" t="s">
        <v>872</v>
      </c>
      <c r="DA117" s="174" t="s">
        <v>1149</v>
      </c>
      <c r="DB117" s="174" t="s">
        <v>874</v>
      </c>
      <c r="DC117" s="174" t="s">
        <v>875</v>
      </c>
      <c r="DD117" s="174" t="s">
        <v>876</v>
      </c>
      <c r="DE117" s="174" t="str">
        <f>DE59</f>
        <v>NEW PROF</v>
      </c>
      <c r="EE117" s="203">
        <v>1.6288000000000005</v>
      </c>
      <c r="EF117" s="174">
        <v>-5</v>
      </c>
      <c r="HA117" s="174">
        <v>48</v>
      </c>
      <c r="HB117" s="197">
        <v>114</v>
      </c>
      <c r="HC117" s="194">
        <v>77</v>
      </c>
      <c r="HD117" s="238">
        <v>102</v>
      </c>
      <c r="HE117" s="236">
        <v>25</v>
      </c>
      <c r="HF117" s="183">
        <v>179</v>
      </c>
      <c r="HG117" s="193" t="e">
        <f t="shared" si="11"/>
        <v>#N/A</v>
      </c>
      <c r="HH117" s="192" t="e">
        <f t="shared" si="12"/>
        <v>#N/A</v>
      </c>
      <c r="HI117" s="198">
        <v>25</v>
      </c>
      <c r="HJ117" s="185">
        <v>147</v>
      </c>
      <c r="HK117" s="174">
        <v>115</v>
      </c>
      <c r="HL117" s="174">
        <v>475</v>
      </c>
      <c r="HM117" s="174">
        <v>520</v>
      </c>
      <c r="HN117" s="174">
        <v>415</v>
      </c>
      <c r="HO117" s="174">
        <v>235</v>
      </c>
      <c r="HP117" s="174">
        <v>225</v>
      </c>
      <c r="HQ117" s="174">
        <v>215</v>
      </c>
      <c r="HR117" s="174">
        <v>205</v>
      </c>
      <c r="HS117" s="174">
        <v>415</v>
      </c>
      <c r="HT117" s="174">
        <v>405</v>
      </c>
      <c r="HU117" s="174">
        <v>215</v>
      </c>
      <c r="HV117" s="174">
        <v>300</v>
      </c>
      <c r="HW117" s="174">
        <v>205</v>
      </c>
      <c r="HX117" s="174">
        <v>195</v>
      </c>
      <c r="HY117" s="174">
        <v>185</v>
      </c>
      <c r="HZ117" s="174">
        <v>175</v>
      </c>
      <c r="IA117" s="174">
        <v>290</v>
      </c>
      <c r="IB117" s="174">
        <v>270</v>
      </c>
      <c r="IC117" s="174">
        <v>175</v>
      </c>
      <c r="ID117" s="174">
        <v>145</v>
      </c>
      <c r="IE117" s="174">
        <v>125</v>
      </c>
      <c r="IF117" s="174">
        <v>117</v>
      </c>
    </row>
    <row r="118" spans="1:240" ht="13.35" customHeight="1" thickBot="1" x14ac:dyDescent="0.25">
      <c r="A118" s="183">
        <f t="shared" si="9"/>
        <v>117</v>
      </c>
      <c r="B118" s="184">
        <f t="shared" si="16"/>
        <v>44</v>
      </c>
      <c r="C118" s="183">
        <f t="shared" si="15"/>
        <v>819</v>
      </c>
      <c r="E118" s="206" t="s">
        <v>1399</v>
      </c>
      <c r="F118" s="174" t="s">
        <v>1400</v>
      </c>
      <c r="G118" s="174" t="s">
        <v>1400</v>
      </c>
      <c r="H118" s="174" t="s">
        <v>1400</v>
      </c>
      <c r="I118" s="174" t="s">
        <v>1400</v>
      </c>
      <c r="J118" s="174" t="s">
        <v>1400</v>
      </c>
      <c r="K118" s="174" t="s">
        <v>242</v>
      </c>
      <c r="L118" s="174" t="s">
        <v>242</v>
      </c>
      <c r="M118" s="174" t="s">
        <v>243</v>
      </c>
      <c r="N118" s="174" t="s">
        <v>243</v>
      </c>
      <c r="O118" s="174" t="s">
        <v>244</v>
      </c>
      <c r="P118" s="174" t="s">
        <v>244</v>
      </c>
      <c r="Q118" s="174" t="s">
        <v>887</v>
      </c>
      <c r="R118" s="174" t="s">
        <v>1401</v>
      </c>
      <c r="S118" s="174" t="s">
        <v>889</v>
      </c>
      <c r="T118" s="174" t="s">
        <v>243</v>
      </c>
      <c r="U118" s="174" t="s">
        <v>243</v>
      </c>
      <c r="V118" s="174" t="s">
        <v>242</v>
      </c>
      <c r="W118" s="174" t="s">
        <v>242</v>
      </c>
      <c r="X118" s="174" t="s">
        <v>244</v>
      </c>
      <c r="Y118" s="174" t="s">
        <v>244</v>
      </c>
      <c r="AA118" s="174" t="s">
        <v>890</v>
      </c>
      <c r="AB118" s="174" t="s">
        <v>890</v>
      </c>
      <c r="AC118" s="174" t="s">
        <v>890</v>
      </c>
      <c r="AD118" s="174" t="s">
        <v>890</v>
      </c>
      <c r="AF118" s="174" t="s">
        <v>889</v>
      </c>
      <c r="AG118" s="174" t="s">
        <v>242</v>
      </c>
      <c r="AH118" s="174" t="s">
        <v>242</v>
      </c>
      <c r="AJ118" s="174" t="s">
        <v>244</v>
      </c>
      <c r="AK118" s="174" t="s">
        <v>1401</v>
      </c>
      <c r="AL118" s="174" t="s">
        <v>244</v>
      </c>
      <c r="AM118" s="174" t="s">
        <v>887</v>
      </c>
      <c r="AO118" s="174" t="s">
        <v>889</v>
      </c>
      <c r="AP118" s="174" t="s">
        <v>887</v>
      </c>
      <c r="AQ118" s="174" t="s">
        <v>243</v>
      </c>
      <c r="AS118" s="174" t="s">
        <v>243</v>
      </c>
      <c r="AT118" s="174" t="s">
        <v>243</v>
      </c>
      <c r="AU118" s="174" t="s">
        <v>243</v>
      </c>
      <c r="AV118" s="174" t="s">
        <v>243</v>
      </c>
      <c r="AW118" s="174" t="s">
        <v>243</v>
      </c>
      <c r="AX118" s="174" t="s">
        <v>243</v>
      </c>
      <c r="AY118" s="174" t="s">
        <v>243</v>
      </c>
      <c r="AZ118" s="174" t="s">
        <v>243</v>
      </c>
      <c r="BA118" s="174" t="s">
        <v>243</v>
      </c>
      <c r="BB118" s="174" t="s">
        <v>243</v>
      </c>
      <c r="BC118" s="174" t="s">
        <v>243</v>
      </c>
      <c r="BD118" s="174" t="s">
        <v>243</v>
      </c>
      <c r="BE118" s="174" t="s">
        <v>243</v>
      </c>
      <c r="BF118" s="174" t="s">
        <v>243</v>
      </c>
      <c r="BG118" s="174" t="s">
        <v>243</v>
      </c>
      <c r="BH118" s="174" t="s">
        <v>243</v>
      </c>
      <c r="BI118" s="174" t="s">
        <v>243</v>
      </c>
      <c r="BJ118" s="174" t="s">
        <v>243</v>
      </c>
      <c r="BK118" s="174" t="s">
        <v>243</v>
      </c>
      <c r="BL118" s="174" t="s">
        <v>243</v>
      </c>
      <c r="BM118" s="174" t="s">
        <v>243</v>
      </c>
      <c r="BN118" s="174" t="s">
        <v>243</v>
      </c>
      <c r="BO118" s="174" t="s">
        <v>243</v>
      </c>
      <c r="BP118" s="174" t="s">
        <v>243</v>
      </c>
      <c r="BQ118" s="174" t="s">
        <v>243</v>
      </c>
      <c r="BR118" s="174" t="s">
        <v>243</v>
      </c>
      <c r="BS118" s="174" t="s">
        <v>243</v>
      </c>
      <c r="BT118" s="174" t="s">
        <v>243</v>
      </c>
      <c r="BU118" s="174" t="s">
        <v>243</v>
      </c>
      <c r="BV118" s="174" t="s">
        <v>243</v>
      </c>
      <c r="BW118" s="174" t="s">
        <v>243</v>
      </c>
      <c r="BX118" s="174" t="s">
        <v>243</v>
      </c>
      <c r="BY118" s="174" t="s">
        <v>243</v>
      </c>
      <c r="BZ118" s="174" t="s">
        <v>243</v>
      </c>
      <c r="CA118" s="174" t="s">
        <v>243</v>
      </c>
      <c r="CB118" s="174" t="s">
        <v>243</v>
      </c>
      <c r="CC118" s="174" t="s">
        <v>243</v>
      </c>
      <c r="CD118" s="174" t="s">
        <v>243</v>
      </c>
      <c r="CE118" s="174" t="s">
        <v>243</v>
      </c>
      <c r="CF118" s="174" t="s">
        <v>243</v>
      </c>
      <c r="CG118" s="174" t="s">
        <v>243</v>
      </c>
      <c r="CH118" s="174" t="s">
        <v>243</v>
      </c>
      <c r="CI118" s="174" t="s">
        <v>243</v>
      </c>
      <c r="CJ118" s="174" t="s">
        <v>243</v>
      </c>
      <c r="CK118" s="174" t="s">
        <v>243</v>
      </c>
      <c r="CL118" s="174" t="s">
        <v>243</v>
      </c>
      <c r="CM118" s="174" t="s">
        <v>243</v>
      </c>
      <c r="CN118" s="174" t="s">
        <v>243</v>
      </c>
      <c r="CO118" s="174" t="s">
        <v>243</v>
      </c>
      <c r="CP118" s="174" t="s">
        <v>243</v>
      </c>
      <c r="CQ118" s="174" t="s">
        <v>243</v>
      </c>
      <c r="CS118" s="174" t="s">
        <v>1400</v>
      </c>
      <c r="CT118" s="174" t="s">
        <v>1400</v>
      </c>
      <c r="CU118" s="174" t="s">
        <v>1400</v>
      </c>
      <c r="CV118" s="174" t="s">
        <v>1400</v>
      </c>
      <c r="CX118" s="174" t="s">
        <v>243</v>
      </c>
      <c r="CY118" s="174" t="s">
        <v>887</v>
      </c>
      <c r="CZ118" s="174" t="s">
        <v>887</v>
      </c>
      <c r="DA118" s="174" t="s">
        <v>1400</v>
      </c>
      <c r="DB118" s="174" t="s">
        <v>242</v>
      </c>
      <c r="DC118" s="174" t="s">
        <v>243</v>
      </c>
      <c r="DD118" s="174" t="s">
        <v>244</v>
      </c>
      <c r="EE118" s="203">
        <v>1.6542000000000003</v>
      </c>
      <c r="EF118" s="174">
        <v>-5</v>
      </c>
      <c r="HA118" s="174">
        <v>49</v>
      </c>
      <c r="HB118" s="197">
        <v>115</v>
      </c>
      <c r="HC118" s="194">
        <v>78</v>
      </c>
      <c r="HD118" s="238">
        <v>102.5</v>
      </c>
      <c r="HE118" s="236">
        <v>25</v>
      </c>
      <c r="HF118" s="183">
        <v>180</v>
      </c>
      <c r="HG118" s="193" t="e">
        <f t="shared" si="11"/>
        <v>#N/A</v>
      </c>
      <c r="HH118" s="192" t="e">
        <f t="shared" si="12"/>
        <v>#N/A</v>
      </c>
      <c r="HI118" s="198">
        <v>25</v>
      </c>
      <c r="HJ118" s="185">
        <v>147.5</v>
      </c>
      <c r="HK118" s="174">
        <v>116</v>
      </c>
      <c r="HL118" s="174">
        <v>478</v>
      </c>
      <c r="HM118" s="174">
        <v>524</v>
      </c>
      <c r="HN118" s="174">
        <v>418</v>
      </c>
      <c r="HO118" s="174">
        <v>236</v>
      </c>
      <c r="HP118" s="174">
        <v>226</v>
      </c>
      <c r="HQ118" s="174">
        <v>216</v>
      </c>
      <c r="HR118" s="174">
        <v>206</v>
      </c>
      <c r="HS118" s="174">
        <v>418</v>
      </c>
      <c r="HT118" s="174">
        <v>408</v>
      </c>
      <c r="HU118" s="174">
        <v>216</v>
      </c>
      <c r="HV118" s="174">
        <v>302</v>
      </c>
      <c r="HW118" s="174">
        <v>206</v>
      </c>
      <c r="HX118" s="174">
        <v>196</v>
      </c>
      <c r="HY118" s="174">
        <v>186</v>
      </c>
      <c r="HZ118" s="174">
        <v>176</v>
      </c>
      <c r="IA118" s="174">
        <v>292</v>
      </c>
      <c r="IB118" s="174">
        <v>272</v>
      </c>
      <c r="IC118" s="174">
        <v>176</v>
      </c>
      <c r="ID118" s="174">
        <v>146</v>
      </c>
      <c r="IE118" s="174">
        <v>126</v>
      </c>
      <c r="IF118" s="174">
        <v>118</v>
      </c>
    </row>
    <row r="119" spans="1:240" ht="13.35" customHeight="1" thickBot="1" x14ac:dyDescent="0.25">
      <c r="A119" s="183">
        <f t="shared" si="9"/>
        <v>118</v>
      </c>
      <c r="B119" s="184">
        <f t="shared" si="16"/>
        <v>46</v>
      </c>
      <c r="C119" s="183">
        <f t="shared" si="15"/>
        <v>874</v>
      </c>
      <c r="E119" s="206" t="s">
        <v>1402</v>
      </c>
      <c r="F119" s="174" t="s">
        <v>1403</v>
      </c>
      <c r="G119" s="174" t="s">
        <v>1404</v>
      </c>
      <c r="H119" s="174" t="s">
        <v>1405</v>
      </c>
      <c r="I119" s="174" t="s">
        <v>1406</v>
      </c>
      <c r="J119" s="174" t="s">
        <v>1407</v>
      </c>
      <c r="K119" s="174" t="s">
        <v>1408</v>
      </c>
      <c r="L119" s="174" t="s">
        <v>1408</v>
      </c>
      <c r="M119" s="174" t="s">
        <v>1409</v>
      </c>
      <c r="N119" s="174" t="s">
        <v>1409</v>
      </c>
      <c r="O119" s="174" t="s">
        <v>1410</v>
      </c>
      <c r="P119" s="174" t="s">
        <v>1410</v>
      </c>
      <c r="Q119" s="174" t="s">
        <v>1411</v>
      </c>
      <c r="R119" s="174" t="s">
        <v>1412</v>
      </c>
      <c r="S119" s="174" t="s">
        <v>1413</v>
      </c>
      <c r="T119" s="174" t="s">
        <v>1414</v>
      </c>
      <c r="U119" s="174" t="s">
        <v>1415</v>
      </c>
      <c r="V119" s="174" t="s">
        <v>1416</v>
      </c>
      <c r="W119" s="174" t="s">
        <v>1417</v>
      </c>
      <c r="X119" s="174" t="s">
        <v>1418</v>
      </c>
      <c r="Y119" s="174" t="s">
        <v>1419</v>
      </c>
      <c r="AA119" s="174" t="s">
        <v>1420</v>
      </c>
      <c r="AB119" s="174" t="s">
        <v>1420</v>
      </c>
      <c r="AC119" s="174" t="s">
        <v>4133</v>
      </c>
      <c r="AD119" s="174" t="s">
        <v>4133</v>
      </c>
      <c r="AF119" s="174" t="s">
        <v>1413</v>
      </c>
      <c r="AG119" s="174" t="s">
        <v>1417</v>
      </c>
      <c r="AH119" s="174" t="s">
        <v>1421</v>
      </c>
      <c r="AJ119" s="174" t="s">
        <v>1422</v>
      </c>
      <c r="AK119" s="174" t="s">
        <v>1423</v>
      </c>
      <c r="AL119" s="174" t="s">
        <v>1424</v>
      </c>
      <c r="AM119" s="174" t="s">
        <v>1411</v>
      </c>
      <c r="AO119" s="174" t="s">
        <v>1413</v>
      </c>
      <c r="AP119" s="174" t="s">
        <v>1411</v>
      </c>
      <c r="AQ119" s="174" t="s">
        <v>1425</v>
      </c>
      <c r="AS119" s="174" t="s">
        <v>1414</v>
      </c>
      <c r="AT119" s="174" t="s">
        <v>1409</v>
      </c>
      <c r="AU119" s="174" t="s">
        <v>1415</v>
      </c>
      <c r="AV119" s="174" t="s">
        <v>1426</v>
      </c>
      <c r="AW119" s="174" t="s">
        <v>1409</v>
      </c>
      <c r="AX119" s="174" t="s">
        <v>1415</v>
      </c>
      <c r="AY119" s="174" t="s">
        <v>1426</v>
      </c>
      <c r="AZ119" s="174" t="s">
        <v>1427</v>
      </c>
      <c r="BA119" s="174" t="s">
        <v>1409</v>
      </c>
      <c r="BB119" s="174" t="s">
        <v>1426</v>
      </c>
      <c r="BC119" s="174" t="s">
        <v>1415</v>
      </c>
      <c r="BD119" s="174" t="s">
        <v>1409</v>
      </c>
      <c r="BE119" s="174" t="s">
        <v>1414</v>
      </c>
      <c r="BF119" s="174" t="s">
        <v>1409</v>
      </c>
      <c r="BG119" s="174" t="s">
        <v>1409</v>
      </c>
      <c r="BH119" s="174" t="s">
        <v>1415</v>
      </c>
      <c r="BI119" s="174" t="s">
        <v>1426</v>
      </c>
      <c r="BJ119" s="174" t="s">
        <v>1415</v>
      </c>
      <c r="BK119" s="174" t="s">
        <v>1414</v>
      </c>
      <c r="BL119" s="174" t="s">
        <v>1426</v>
      </c>
      <c r="BM119" s="174" t="s">
        <v>1427</v>
      </c>
      <c r="BN119" s="174" t="s">
        <v>1414</v>
      </c>
      <c r="BO119" s="174" t="s">
        <v>1426</v>
      </c>
      <c r="BP119" s="174" t="s">
        <v>1414</v>
      </c>
      <c r="BQ119" s="174" t="s">
        <v>1415</v>
      </c>
      <c r="BR119" s="174" t="s">
        <v>1415</v>
      </c>
      <c r="BS119" s="174" t="s">
        <v>1426</v>
      </c>
      <c r="BT119" s="174" t="s">
        <v>1409</v>
      </c>
      <c r="BU119" s="174" t="s">
        <v>1415</v>
      </c>
      <c r="BV119" s="174" t="s">
        <v>1414</v>
      </c>
      <c r="BW119" s="174" t="s">
        <v>1426</v>
      </c>
      <c r="BX119" s="174" t="s">
        <v>1409</v>
      </c>
      <c r="BY119" s="174" t="s">
        <v>1427</v>
      </c>
      <c r="BZ119" s="174" t="s">
        <v>1409</v>
      </c>
      <c r="CA119" s="174" t="s">
        <v>1409</v>
      </c>
      <c r="CB119" s="174" t="s">
        <v>1415</v>
      </c>
      <c r="CC119" s="174" t="s">
        <v>1415</v>
      </c>
      <c r="CD119" s="174" t="s">
        <v>1409</v>
      </c>
      <c r="CE119" s="174" t="s">
        <v>1409</v>
      </c>
      <c r="CF119" s="174" t="s">
        <v>1415</v>
      </c>
      <c r="CG119" s="174" t="s">
        <v>1409</v>
      </c>
      <c r="CH119" s="174" t="s">
        <v>1414</v>
      </c>
      <c r="CI119" s="174" t="s">
        <v>1414</v>
      </c>
      <c r="CJ119" s="174" t="s">
        <v>1426</v>
      </c>
      <c r="CK119" s="174" t="s">
        <v>1414</v>
      </c>
      <c r="CL119" s="174" t="s">
        <v>1409</v>
      </c>
      <c r="CM119" s="174" t="s">
        <v>1415</v>
      </c>
      <c r="CN119" s="174" t="s">
        <v>1409</v>
      </c>
      <c r="CO119" s="174" t="s">
        <v>1414</v>
      </c>
      <c r="CP119" s="174" t="s">
        <v>1427</v>
      </c>
      <c r="CQ119" s="174" t="s">
        <v>1409</v>
      </c>
      <c r="CS119" s="174" t="s">
        <v>1403</v>
      </c>
      <c r="CT119" s="174" t="s">
        <v>1425</v>
      </c>
      <c r="CU119" s="174" t="s">
        <v>1428</v>
      </c>
      <c r="CV119" s="174" t="s">
        <v>1429</v>
      </c>
      <c r="CX119" s="174" t="s">
        <v>1430</v>
      </c>
      <c r="CY119" s="174" t="s">
        <v>1411</v>
      </c>
      <c r="CZ119" s="174" t="s">
        <v>1411</v>
      </c>
      <c r="DA119" s="174" t="s">
        <v>1403</v>
      </c>
      <c r="DB119" s="174" t="s">
        <v>1408</v>
      </c>
      <c r="DC119" s="174" t="s">
        <v>1426</v>
      </c>
      <c r="DD119" s="174" t="s">
        <v>1410</v>
      </c>
      <c r="EE119" s="203">
        <v>1.6796000000000004</v>
      </c>
      <c r="EF119" s="174">
        <v>-5</v>
      </c>
      <c r="HA119" s="174">
        <v>50</v>
      </c>
      <c r="HB119" s="197">
        <v>116</v>
      </c>
      <c r="HC119" s="194">
        <v>78</v>
      </c>
      <c r="HD119" s="238">
        <v>103</v>
      </c>
      <c r="HE119" s="236">
        <v>25</v>
      </c>
      <c r="HF119" s="183">
        <v>181</v>
      </c>
      <c r="HG119" s="193" t="e">
        <f t="shared" si="11"/>
        <v>#N/A</v>
      </c>
      <c r="HH119" s="192" t="e">
        <f t="shared" si="12"/>
        <v>#N/A</v>
      </c>
      <c r="HI119" s="198">
        <v>25</v>
      </c>
      <c r="HJ119" s="185">
        <v>148</v>
      </c>
      <c r="HK119" s="174">
        <v>117</v>
      </c>
      <c r="HL119" s="174">
        <v>481</v>
      </c>
      <c r="HM119" s="174">
        <v>528</v>
      </c>
      <c r="HN119" s="174">
        <v>421</v>
      </c>
      <c r="HO119" s="174">
        <v>237</v>
      </c>
      <c r="HP119" s="174">
        <v>227</v>
      </c>
      <c r="HQ119" s="174">
        <v>217</v>
      </c>
      <c r="HR119" s="174">
        <v>207</v>
      </c>
      <c r="HS119" s="174">
        <v>421</v>
      </c>
      <c r="HT119" s="174">
        <v>411</v>
      </c>
      <c r="HU119" s="174">
        <v>217</v>
      </c>
      <c r="HV119" s="174">
        <v>304</v>
      </c>
      <c r="HW119" s="174">
        <v>207</v>
      </c>
      <c r="HX119" s="174">
        <v>197</v>
      </c>
      <c r="HY119" s="174">
        <v>187</v>
      </c>
      <c r="HZ119" s="174">
        <v>177</v>
      </c>
      <c r="IA119" s="174">
        <v>294</v>
      </c>
      <c r="IB119" s="174">
        <v>274</v>
      </c>
      <c r="IC119" s="174">
        <v>177</v>
      </c>
      <c r="ID119" s="174">
        <v>147</v>
      </c>
      <c r="IE119" s="174">
        <v>127</v>
      </c>
      <c r="IF119" s="174">
        <v>119</v>
      </c>
    </row>
    <row r="120" spans="1:240" ht="13.35" customHeight="1" thickBot="1" x14ac:dyDescent="0.25">
      <c r="A120" s="183">
        <f t="shared" si="9"/>
        <v>119</v>
      </c>
      <c r="B120" s="184">
        <f t="shared" si="16"/>
        <v>48</v>
      </c>
      <c r="C120" s="183">
        <f t="shared" si="15"/>
        <v>931</v>
      </c>
      <c r="E120" s="206" t="s">
        <v>1400</v>
      </c>
      <c r="F120" s="174" t="s">
        <v>1431</v>
      </c>
      <c r="EE120" s="203">
        <v>1.7050000000000003</v>
      </c>
      <c r="EF120" s="174">
        <v>-5</v>
      </c>
      <c r="HA120" s="174">
        <v>51</v>
      </c>
      <c r="HB120" s="197">
        <v>117</v>
      </c>
      <c r="HC120" s="194">
        <v>79</v>
      </c>
      <c r="HD120" s="238">
        <v>103.5</v>
      </c>
      <c r="HE120" s="236">
        <v>25</v>
      </c>
      <c r="HF120" s="183">
        <v>182</v>
      </c>
      <c r="HG120" s="193" t="e">
        <f t="shared" si="11"/>
        <v>#N/A</v>
      </c>
      <c r="HH120" s="192" t="e">
        <f t="shared" si="12"/>
        <v>#N/A</v>
      </c>
      <c r="HI120" s="198">
        <v>25</v>
      </c>
      <c r="HJ120" s="185">
        <v>148.5</v>
      </c>
      <c r="HK120" s="174">
        <v>118</v>
      </c>
      <c r="HL120" s="174">
        <v>484</v>
      </c>
      <c r="HM120" s="174">
        <v>532</v>
      </c>
      <c r="HN120" s="174">
        <v>424</v>
      </c>
      <c r="HO120" s="174">
        <v>238</v>
      </c>
      <c r="HP120" s="174">
        <v>228</v>
      </c>
      <c r="HQ120" s="174">
        <v>218</v>
      </c>
      <c r="HR120" s="174">
        <v>208</v>
      </c>
      <c r="HS120" s="174">
        <v>424</v>
      </c>
      <c r="HT120" s="174">
        <v>414</v>
      </c>
      <c r="HU120" s="174">
        <v>218</v>
      </c>
      <c r="HV120" s="174">
        <v>306</v>
      </c>
      <c r="HW120" s="174">
        <v>208</v>
      </c>
      <c r="HX120" s="174">
        <v>198</v>
      </c>
      <c r="HY120" s="174">
        <v>188</v>
      </c>
      <c r="HZ120" s="174">
        <v>178</v>
      </c>
      <c r="IA120" s="174">
        <v>296</v>
      </c>
      <c r="IB120" s="174">
        <v>276</v>
      </c>
      <c r="IC120" s="174">
        <v>178</v>
      </c>
      <c r="ID120" s="174">
        <v>148</v>
      </c>
      <c r="IE120" s="174">
        <v>128</v>
      </c>
      <c r="IF120" s="174">
        <v>120</v>
      </c>
    </row>
    <row r="121" spans="1:240" ht="13.35" customHeight="1" thickBot="1" x14ac:dyDescent="0.25">
      <c r="A121" s="183">
        <f t="shared" si="9"/>
        <v>120</v>
      </c>
      <c r="B121" s="184">
        <f t="shared" si="16"/>
        <v>50</v>
      </c>
      <c r="C121" s="183">
        <f t="shared" si="15"/>
        <v>990</v>
      </c>
      <c r="E121" s="206" t="s">
        <v>242</v>
      </c>
      <c r="F121" s="174">
        <f>Stats!I21</f>
        <v>4</v>
      </c>
      <c r="EE121" s="203">
        <v>1.7304000000000002</v>
      </c>
      <c r="EF121" s="174">
        <v>-5</v>
      </c>
      <c r="HA121" s="174">
        <v>52</v>
      </c>
      <c r="HB121" s="197">
        <v>118</v>
      </c>
      <c r="HC121" s="194">
        <v>79</v>
      </c>
      <c r="HD121" s="238">
        <v>104</v>
      </c>
      <c r="HE121" s="236">
        <v>25</v>
      </c>
      <c r="HF121" s="183">
        <v>183</v>
      </c>
      <c r="HG121" s="193" t="e">
        <f t="shared" si="11"/>
        <v>#N/A</v>
      </c>
      <c r="HH121" s="192" t="e">
        <f t="shared" si="12"/>
        <v>#N/A</v>
      </c>
      <c r="HI121" s="198">
        <v>25</v>
      </c>
      <c r="HJ121" s="185">
        <v>149</v>
      </c>
      <c r="HK121" s="174">
        <v>119</v>
      </c>
      <c r="HL121" s="174">
        <v>487</v>
      </c>
      <c r="HM121" s="174">
        <v>536</v>
      </c>
      <c r="HN121" s="174">
        <v>427</v>
      </c>
      <c r="HO121" s="174">
        <v>239</v>
      </c>
      <c r="HP121" s="174">
        <v>229</v>
      </c>
      <c r="HQ121" s="174">
        <v>219</v>
      </c>
      <c r="HR121" s="174">
        <v>209</v>
      </c>
      <c r="HS121" s="174">
        <v>427</v>
      </c>
      <c r="HT121" s="174">
        <v>417</v>
      </c>
      <c r="HU121" s="174">
        <v>219</v>
      </c>
      <c r="HV121" s="174">
        <v>308</v>
      </c>
      <c r="HW121" s="174">
        <v>209</v>
      </c>
      <c r="HX121" s="174">
        <v>199</v>
      </c>
      <c r="HY121" s="174">
        <v>189</v>
      </c>
      <c r="HZ121" s="174">
        <v>179</v>
      </c>
      <c r="IA121" s="174">
        <v>298</v>
      </c>
      <c r="IB121" s="174">
        <v>278</v>
      </c>
      <c r="IC121" s="174">
        <v>179</v>
      </c>
      <c r="ID121" s="174">
        <v>149</v>
      </c>
      <c r="IE121" s="174">
        <v>129</v>
      </c>
      <c r="IF121" s="174">
        <v>121</v>
      </c>
    </row>
    <row r="122" spans="1:240" ht="13.35" customHeight="1" thickBot="1" x14ac:dyDescent="0.25">
      <c r="A122" s="183">
        <f t="shared" si="9"/>
        <v>121</v>
      </c>
      <c r="B122" s="184">
        <f t="shared" si="16"/>
        <v>52</v>
      </c>
      <c r="C122" s="183">
        <f t="shared" si="15"/>
        <v>1051</v>
      </c>
      <c r="E122" s="206" t="s">
        <v>243</v>
      </c>
      <c r="F122" s="174">
        <f>Stats!I22</f>
        <v>4</v>
      </c>
      <c r="EE122" s="203">
        <v>1.7558</v>
      </c>
      <c r="EF122" s="174">
        <v>-5</v>
      </c>
      <c r="HA122" s="174">
        <v>53</v>
      </c>
      <c r="HB122" s="197">
        <v>119</v>
      </c>
      <c r="HC122" s="194">
        <v>80</v>
      </c>
      <c r="HD122" s="238">
        <v>104.5</v>
      </c>
      <c r="HE122" s="236">
        <v>25</v>
      </c>
      <c r="HF122" s="183">
        <v>184</v>
      </c>
      <c r="HG122" s="193" t="e">
        <f t="shared" si="11"/>
        <v>#N/A</v>
      </c>
      <c r="HH122" s="192" t="e">
        <f t="shared" si="12"/>
        <v>#N/A</v>
      </c>
      <c r="HI122" s="198">
        <v>25</v>
      </c>
      <c r="HJ122" s="185">
        <v>149.5</v>
      </c>
      <c r="HK122" s="182">
        <v>120</v>
      </c>
      <c r="HL122" s="182">
        <v>490</v>
      </c>
      <c r="HM122" s="182">
        <v>540</v>
      </c>
      <c r="HN122" s="182">
        <v>430</v>
      </c>
      <c r="HO122" s="182">
        <v>240</v>
      </c>
      <c r="HP122" s="182">
        <v>230</v>
      </c>
      <c r="HQ122" s="182">
        <v>220</v>
      </c>
      <c r="HR122" s="182">
        <v>210</v>
      </c>
      <c r="HS122" s="174">
        <v>430</v>
      </c>
      <c r="HT122" s="174">
        <v>420</v>
      </c>
      <c r="HU122" s="182">
        <v>220</v>
      </c>
      <c r="HV122" s="182">
        <v>310</v>
      </c>
      <c r="HW122" s="182">
        <v>210</v>
      </c>
      <c r="HX122" s="182">
        <v>200</v>
      </c>
      <c r="HY122" s="182">
        <v>190</v>
      </c>
      <c r="HZ122" s="182">
        <v>180</v>
      </c>
      <c r="IA122" s="174">
        <v>300</v>
      </c>
      <c r="IB122" s="182">
        <v>280</v>
      </c>
      <c r="IC122" s="182">
        <v>180</v>
      </c>
      <c r="ID122" s="182">
        <v>150</v>
      </c>
      <c r="IE122" s="182">
        <v>130</v>
      </c>
      <c r="IF122" s="182">
        <v>122</v>
      </c>
    </row>
    <row r="123" spans="1:240" ht="13.35" customHeight="1" thickBot="1" x14ac:dyDescent="0.25">
      <c r="A123" s="183">
        <f t="shared" si="9"/>
        <v>122</v>
      </c>
      <c r="B123" s="184">
        <f t="shared" si="16"/>
        <v>54</v>
      </c>
      <c r="C123" s="183">
        <f t="shared" si="15"/>
        <v>1114</v>
      </c>
      <c r="E123" s="206" t="s">
        <v>244</v>
      </c>
      <c r="F123" s="174">
        <f>Stats!I20</f>
        <v>-6</v>
      </c>
      <c r="EE123" s="203">
        <v>1.7812000000000001</v>
      </c>
      <c r="EF123" s="174">
        <v>0</v>
      </c>
      <c r="HA123" s="174">
        <v>54</v>
      </c>
      <c r="HB123" s="197">
        <v>120</v>
      </c>
      <c r="HC123" s="194">
        <v>80</v>
      </c>
      <c r="HD123" s="238">
        <v>105</v>
      </c>
      <c r="HE123" s="236">
        <v>25</v>
      </c>
      <c r="HF123" s="183">
        <v>185</v>
      </c>
      <c r="HG123" s="193" t="e">
        <f t="shared" si="11"/>
        <v>#N/A</v>
      </c>
      <c r="HH123" s="192" t="e">
        <f t="shared" si="12"/>
        <v>#N/A</v>
      </c>
      <c r="HI123" s="198">
        <v>25</v>
      </c>
      <c r="HJ123" s="185">
        <v>150</v>
      </c>
      <c r="HK123" s="174">
        <v>121</v>
      </c>
      <c r="HL123" s="174">
        <v>493</v>
      </c>
      <c r="HM123" s="174">
        <v>544</v>
      </c>
      <c r="HN123" s="174">
        <v>433</v>
      </c>
      <c r="HO123" s="174">
        <v>241</v>
      </c>
      <c r="HP123" s="174">
        <v>231</v>
      </c>
      <c r="HQ123" s="174">
        <v>221</v>
      </c>
      <c r="HR123" s="174">
        <v>211</v>
      </c>
      <c r="HS123" s="174">
        <v>433</v>
      </c>
      <c r="HT123" s="174">
        <v>423</v>
      </c>
      <c r="HU123" s="174">
        <v>221</v>
      </c>
      <c r="HV123" s="174">
        <v>312</v>
      </c>
      <c r="HW123" s="174">
        <v>211</v>
      </c>
      <c r="HX123" s="174">
        <v>201</v>
      </c>
      <c r="HY123" s="174">
        <v>191</v>
      </c>
      <c r="HZ123" s="174">
        <v>181</v>
      </c>
      <c r="IA123" s="174">
        <v>302</v>
      </c>
      <c r="IB123" s="174">
        <v>282</v>
      </c>
      <c r="IC123" s="174">
        <v>181</v>
      </c>
      <c r="ID123" s="174">
        <v>151</v>
      </c>
      <c r="IE123" s="174">
        <v>131</v>
      </c>
      <c r="IF123" s="174">
        <v>123</v>
      </c>
    </row>
    <row r="124" spans="1:240" ht="13.35" customHeight="1" thickBot="1" x14ac:dyDescent="0.25">
      <c r="A124" s="183">
        <f t="shared" si="9"/>
        <v>123</v>
      </c>
      <c r="B124" s="184">
        <f t="shared" si="16"/>
        <v>56</v>
      </c>
      <c r="C124" s="183">
        <f t="shared" si="15"/>
        <v>1179</v>
      </c>
      <c r="E124" s="206" t="s">
        <v>887</v>
      </c>
      <c r="F124" s="205">
        <f>(F122+F123)/2</f>
        <v>-1</v>
      </c>
      <c r="EE124" s="203">
        <v>1.8066</v>
      </c>
      <c r="EF124" s="174">
        <v>0</v>
      </c>
      <c r="HB124" s="197">
        <v>121</v>
      </c>
      <c r="HC124" s="194">
        <v>80</v>
      </c>
      <c r="HD124" s="238">
        <v>105.5</v>
      </c>
      <c r="HE124" s="236">
        <v>25</v>
      </c>
      <c r="HF124" s="183">
        <v>186</v>
      </c>
      <c r="HG124" s="193" t="e">
        <f t="shared" si="11"/>
        <v>#N/A</v>
      </c>
      <c r="HH124" s="192" t="e">
        <f t="shared" si="12"/>
        <v>#N/A</v>
      </c>
      <c r="HI124" s="198">
        <v>25</v>
      </c>
      <c r="HJ124" s="185">
        <v>150.5</v>
      </c>
      <c r="HK124" s="174">
        <v>122</v>
      </c>
      <c r="HL124" s="174">
        <v>496</v>
      </c>
      <c r="HM124" s="174">
        <v>548</v>
      </c>
      <c r="HN124" s="174">
        <v>436</v>
      </c>
      <c r="HO124" s="174">
        <v>242</v>
      </c>
      <c r="HP124" s="174">
        <v>232</v>
      </c>
      <c r="HQ124" s="174">
        <v>222</v>
      </c>
      <c r="HR124" s="174">
        <v>212</v>
      </c>
      <c r="HS124" s="174">
        <v>436</v>
      </c>
      <c r="HT124" s="174">
        <v>426</v>
      </c>
      <c r="HU124" s="174">
        <v>222</v>
      </c>
      <c r="HV124" s="174">
        <v>314</v>
      </c>
      <c r="HW124" s="174">
        <v>212</v>
      </c>
      <c r="HX124" s="174">
        <v>202</v>
      </c>
      <c r="HY124" s="174">
        <v>192</v>
      </c>
      <c r="HZ124" s="174">
        <v>182</v>
      </c>
      <c r="IA124" s="174">
        <v>304</v>
      </c>
      <c r="IB124" s="174">
        <v>284</v>
      </c>
      <c r="IC124" s="174">
        <v>182</v>
      </c>
      <c r="ID124" s="174">
        <v>152</v>
      </c>
      <c r="IE124" s="174">
        <v>132</v>
      </c>
      <c r="IF124" s="174">
        <v>124</v>
      </c>
    </row>
    <row r="125" spans="1:240" ht="13.35" customHeight="1" thickBot="1" x14ac:dyDescent="0.25">
      <c r="A125" s="183">
        <f t="shared" si="9"/>
        <v>124</v>
      </c>
      <c r="B125" s="184">
        <f t="shared" si="16"/>
        <v>58</v>
      </c>
      <c r="C125" s="183">
        <f t="shared" si="15"/>
        <v>1246</v>
      </c>
      <c r="E125" s="206" t="s">
        <v>1401</v>
      </c>
      <c r="F125" s="205">
        <f>(F121+F123)/2</f>
        <v>-1</v>
      </c>
      <c r="EE125" s="203">
        <v>1.8319999999999999</v>
      </c>
      <c r="EF125" s="174">
        <v>0</v>
      </c>
      <c r="HB125" s="197">
        <v>122</v>
      </c>
      <c r="HC125" s="194">
        <v>80</v>
      </c>
      <c r="HD125" s="238">
        <v>106</v>
      </c>
      <c r="HE125" s="236">
        <v>25</v>
      </c>
      <c r="HF125" s="183">
        <v>187</v>
      </c>
      <c r="HG125" s="193" t="e">
        <f t="shared" si="11"/>
        <v>#N/A</v>
      </c>
      <c r="HH125" s="192" t="e">
        <f t="shared" si="12"/>
        <v>#N/A</v>
      </c>
      <c r="HI125" s="198">
        <v>25</v>
      </c>
      <c r="HJ125" s="185">
        <v>151</v>
      </c>
      <c r="HK125" s="174">
        <v>123</v>
      </c>
      <c r="HL125" s="174">
        <v>499</v>
      </c>
      <c r="HM125" s="174">
        <v>552</v>
      </c>
      <c r="HN125" s="174">
        <v>439</v>
      </c>
      <c r="HO125" s="174">
        <v>243</v>
      </c>
      <c r="HP125" s="174">
        <v>233</v>
      </c>
      <c r="HQ125" s="174">
        <v>223</v>
      </c>
      <c r="HR125" s="174">
        <v>213</v>
      </c>
      <c r="HS125" s="174">
        <v>439</v>
      </c>
      <c r="HT125" s="174">
        <v>429</v>
      </c>
      <c r="HU125" s="174">
        <v>223</v>
      </c>
      <c r="HV125" s="174">
        <v>316</v>
      </c>
      <c r="HW125" s="174">
        <v>213</v>
      </c>
      <c r="HX125" s="174">
        <v>203</v>
      </c>
      <c r="HY125" s="174">
        <v>193</v>
      </c>
      <c r="HZ125" s="174">
        <v>183</v>
      </c>
      <c r="IA125" s="174">
        <v>306</v>
      </c>
      <c r="IB125" s="174">
        <v>286</v>
      </c>
      <c r="IC125" s="174">
        <v>183</v>
      </c>
      <c r="ID125" s="174">
        <v>153</v>
      </c>
      <c r="IE125" s="174">
        <v>133</v>
      </c>
      <c r="IF125" s="174">
        <v>125</v>
      </c>
    </row>
    <row r="126" spans="1:240" ht="13.35" customHeight="1" thickBot="1" x14ac:dyDescent="0.25">
      <c r="A126" s="183">
        <f t="shared" si="9"/>
        <v>125</v>
      </c>
      <c r="B126" s="184">
        <f t="shared" si="16"/>
        <v>60</v>
      </c>
      <c r="C126" s="183">
        <f t="shared" si="15"/>
        <v>1315</v>
      </c>
      <c r="E126" s="206" t="s">
        <v>889</v>
      </c>
      <c r="F126" s="205">
        <f>(F121+F122)/2</f>
        <v>4</v>
      </c>
      <c r="EE126" s="203">
        <v>1.8573999999999997</v>
      </c>
      <c r="EF126" s="174">
        <v>0</v>
      </c>
      <c r="HB126" s="197">
        <v>123</v>
      </c>
      <c r="HC126" s="194">
        <v>81</v>
      </c>
      <c r="HD126" s="238">
        <v>106.5</v>
      </c>
      <c r="HE126" s="236">
        <v>25</v>
      </c>
      <c r="HF126" s="183">
        <v>188</v>
      </c>
      <c r="HG126" s="193" t="e">
        <f t="shared" si="11"/>
        <v>#N/A</v>
      </c>
      <c r="HH126" s="192" t="e">
        <f t="shared" si="12"/>
        <v>#N/A</v>
      </c>
      <c r="HI126" s="198">
        <v>25</v>
      </c>
      <c r="HJ126" s="185">
        <v>151.5</v>
      </c>
      <c r="HK126" s="174">
        <v>124</v>
      </c>
      <c r="HL126" s="174">
        <v>502</v>
      </c>
      <c r="HM126" s="174">
        <v>556</v>
      </c>
      <c r="HN126" s="174">
        <v>442</v>
      </c>
      <c r="HO126" s="174">
        <v>244</v>
      </c>
      <c r="HP126" s="174">
        <v>234</v>
      </c>
      <c r="HQ126" s="174">
        <v>224</v>
      </c>
      <c r="HR126" s="174">
        <v>214</v>
      </c>
      <c r="HS126" s="174">
        <v>442</v>
      </c>
      <c r="HT126" s="174">
        <v>432</v>
      </c>
      <c r="HU126" s="174">
        <v>224</v>
      </c>
      <c r="HV126" s="174">
        <v>318</v>
      </c>
      <c r="HW126" s="174">
        <v>214</v>
      </c>
      <c r="HX126" s="174">
        <v>204</v>
      </c>
      <c r="HY126" s="174">
        <v>194</v>
      </c>
      <c r="HZ126" s="174">
        <v>184</v>
      </c>
      <c r="IA126" s="174">
        <v>308</v>
      </c>
      <c r="IB126" s="174">
        <v>288</v>
      </c>
      <c r="IC126" s="174">
        <v>184</v>
      </c>
      <c r="ID126" s="174">
        <v>154</v>
      </c>
      <c r="IE126" s="174">
        <v>134</v>
      </c>
      <c r="IF126" s="174">
        <v>126</v>
      </c>
    </row>
    <row r="127" spans="1:240" ht="13.35" customHeight="1" thickBot="1" x14ac:dyDescent="0.25">
      <c r="A127" s="183">
        <f t="shared" si="9"/>
        <v>126</v>
      </c>
      <c r="B127" s="184">
        <f t="shared" si="16"/>
        <v>62</v>
      </c>
      <c r="C127" s="183">
        <f t="shared" si="15"/>
        <v>1386</v>
      </c>
      <c r="E127" s="206" t="s">
        <v>890</v>
      </c>
      <c r="F127" s="205">
        <f>(F121+F122+F123)/3</f>
        <v>0.66666666666666663</v>
      </c>
      <c r="EE127" s="203">
        <v>1.8827999999999998</v>
      </c>
      <c r="EF127" s="174">
        <v>0</v>
      </c>
      <c r="EN127" s="182" t="s">
        <v>173</v>
      </c>
      <c r="EO127" s="202" t="s">
        <v>1043</v>
      </c>
      <c r="EP127" s="182" t="s">
        <v>1043</v>
      </c>
      <c r="EQ127" s="202" t="s">
        <v>892</v>
      </c>
      <c r="ER127" s="202" t="s">
        <v>892</v>
      </c>
      <c r="ES127" s="182" t="s">
        <v>893</v>
      </c>
      <c r="ET127" s="202" t="s">
        <v>893</v>
      </c>
      <c r="EU127" s="202" t="s">
        <v>893</v>
      </c>
      <c r="EV127" s="202" t="s">
        <v>893</v>
      </c>
      <c r="EW127" s="202" t="s">
        <v>893</v>
      </c>
      <c r="EX127" s="202" t="s">
        <v>894</v>
      </c>
      <c r="EY127" s="182" t="s">
        <v>893</v>
      </c>
      <c r="EZ127" s="182" t="s">
        <v>893</v>
      </c>
      <c r="FA127" s="182" t="s">
        <v>893</v>
      </c>
      <c r="FB127" s="202" t="s">
        <v>895</v>
      </c>
      <c r="FC127" s="202" t="s">
        <v>4171</v>
      </c>
      <c r="FD127" s="202" t="s">
        <v>4173</v>
      </c>
      <c r="FE127" s="202" t="s">
        <v>4172</v>
      </c>
      <c r="FF127" s="202" t="s">
        <v>899</v>
      </c>
      <c r="FG127" s="202" t="s">
        <v>900</v>
      </c>
      <c r="FH127" s="202" t="s">
        <v>901</v>
      </c>
      <c r="FI127" s="202" t="s">
        <v>900</v>
      </c>
      <c r="FJ127" s="202" t="s">
        <v>900</v>
      </c>
      <c r="FK127" s="202" t="s">
        <v>900</v>
      </c>
      <c r="FL127" s="202" t="s">
        <v>900</v>
      </c>
      <c r="FM127" s="202" t="s">
        <v>900</v>
      </c>
      <c r="FN127" s="202" t="s">
        <v>900</v>
      </c>
      <c r="FO127" s="202" t="s">
        <v>900</v>
      </c>
      <c r="FP127" s="182" t="s">
        <v>900</v>
      </c>
      <c r="FQ127" s="202" t="s">
        <v>1117</v>
      </c>
      <c r="FR127" s="202" t="s">
        <v>1118</v>
      </c>
      <c r="FS127" s="202" t="s">
        <v>1049</v>
      </c>
      <c r="FT127" s="202" t="s">
        <v>1049</v>
      </c>
      <c r="FU127" s="202" t="s">
        <v>1049</v>
      </c>
      <c r="FV127" s="202" t="s">
        <v>906</v>
      </c>
      <c r="FW127" s="202" t="s">
        <v>906</v>
      </c>
      <c r="FX127" s="202" t="s">
        <v>906</v>
      </c>
      <c r="FY127" s="202" t="s">
        <v>906</v>
      </c>
      <c r="FZ127" s="202" t="s">
        <v>907</v>
      </c>
      <c r="GA127" s="202" t="s">
        <v>907</v>
      </c>
      <c r="GB127" s="202" t="s">
        <v>907</v>
      </c>
      <c r="GC127" s="202" t="s">
        <v>907</v>
      </c>
      <c r="GD127" s="182" t="s">
        <v>907</v>
      </c>
      <c r="GE127" s="202" t="s">
        <v>907</v>
      </c>
      <c r="GF127" s="202" t="s">
        <v>907</v>
      </c>
      <c r="GG127" s="202" t="s">
        <v>907</v>
      </c>
      <c r="GH127" s="202" t="s">
        <v>907</v>
      </c>
      <c r="GI127" s="202" t="s">
        <v>908</v>
      </c>
      <c r="GJ127" s="202" t="s">
        <v>909</v>
      </c>
      <c r="GK127" s="202" t="s">
        <v>910</v>
      </c>
      <c r="GL127" s="202" t="s">
        <v>911</v>
      </c>
      <c r="GM127" s="202" t="s">
        <v>912</v>
      </c>
      <c r="GN127" s="202" t="s">
        <v>913</v>
      </c>
      <c r="GO127" s="202" t="s">
        <v>914</v>
      </c>
      <c r="GP127" s="202" t="s">
        <v>915</v>
      </c>
      <c r="GQ127" s="202" t="s">
        <v>916</v>
      </c>
      <c r="GR127" s="182" t="s">
        <v>916</v>
      </c>
      <c r="GS127" s="182" t="s">
        <v>917</v>
      </c>
      <c r="GT127" s="182" t="s">
        <v>917</v>
      </c>
      <c r="GU127" s="182" t="s">
        <v>917</v>
      </c>
      <c r="GV127" s="182" t="s">
        <v>917</v>
      </c>
      <c r="GW127" s="182" t="s">
        <v>917</v>
      </c>
      <c r="GX127" s="182" t="s">
        <v>917</v>
      </c>
      <c r="GY127" s="182"/>
      <c r="GZ127" s="182"/>
      <c r="HB127" s="197">
        <v>124</v>
      </c>
      <c r="HC127" s="194">
        <v>81</v>
      </c>
      <c r="HD127" s="238">
        <v>107</v>
      </c>
      <c r="HE127" s="236">
        <v>25</v>
      </c>
      <c r="HF127" s="183">
        <v>189</v>
      </c>
      <c r="HG127" s="193" t="e">
        <f t="shared" si="11"/>
        <v>#N/A</v>
      </c>
      <c r="HH127" s="192" t="e">
        <f t="shared" si="12"/>
        <v>#N/A</v>
      </c>
      <c r="HI127" s="198">
        <v>25</v>
      </c>
      <c r="HJ127" s="185">
        <v>152</v>
      </c>
      <c r="HK127" s="174">
        <v>125</v>
      </c>
      <c r="HL127" s="174">
        <v>505</v>
      </c>
      <c r="HM127" s="174">
        <v>560</v>
      </c>
      <c r="HN127" s="174">
        <v>445</v>
      </c>
      <c r="HO127" s="174">
        <v>245</v>
      </c>
      <c r="HP127" s="174">
        <v>235</v>
      </c>
      <c r="HQ127" s="174">
        <v>225</v>
      </c>
      <c r="HR127" s="174">
        <v>215</v>
      </c>
      <c r="HS127" s="174">
        <v>445</v>
      </c>
      <c r="HT127" s="174">
        <v>435</v>
      </c>
      <c r="HU127" s="174">
        <v>225</v>
      </c>
      <c r="HV127" s="174">
        <v>320</v>
      </c>
      <c r="HW127" s="174">
        <v>215</v>
      </c>
      <c r="HX127" s="174">
        <v>205</v>
      </c>
      <c r="HY127" s="174">
        <v>195</v>
      </c>
      <c r="HZ127" s="174">
        <v>185</v>
      </c>
      <c r="IA127" s="174">
        <v>310</v>
      </c>
      <c r="IB127" s="174">
        <v>290</v>
      </c>
      <c r="IC127" s="174">
        <v>185</v>
      </c>
      <c r="ID127" s="174">
        <v>155</v>
      </c>
      <c r="IE127" s="174">
        <v>135</v>
      </c>
      <c r="IF127" s="174">
        <v>127</v>
      </c>
    </row>
    <row r="128" spans="1:240" ht="13.35" customHeight="1" thickBot="1" x14ac:dyDescent="0.25">
      <c r="A128" s="183">
        <f t="shared" si="9"/>
        <v>127</v>
      </c>
      <c r="B128" s="184">
        <f t="shared" si="16"/>
        <v>64</v>
      </c>
      <c r="C128" s="183">
        <f t="shared" si="15"/>
        <v>1459</v>
      </c>
      <c r="EE128" s="203">
        <v>1.9081999999999995</v>
      </c>
      <c r="EF128" s="174">
        <v>0</v>
      </c>
      <c r="EN128" s="182"/>
      <c r="EO128" s="182" t="s">
        <v>938</v>
      </c>
      <c r="EP128" s="182" t="s">
        <v>939</v>
      </c>
      <c r="EQ128" s="202" t="s">
        <v>940</v>
      </c>
      <c r="ER128" s="182" t="s">
        <v>941</v>
      </c>
      <c r="ES128" s="182" t="s">
        <v>942</v>
      </c>
      <c r="ET128" s="202" t="s">
        <v>943</v>
      </c>
      <c r="EU128" s="202" t="s">
        <v>944</v>
      </c>
      <c r="EV128" s="202" t="s">
        <v>945</v>
      </c>
      <c r="EW128" s="202" t="s">
        <v>946</v>
      </c>
      <c r="EX128" s="202" t="s">
        <v>894</v>
      </c>
      <c r="EY128" s="182" t="s">
        <v>937</v>
      </c>
      <c r="EZ128" s="182" t="s">
        <v>947</v>
      </c>
      <c r="FA128" s="182" t="s">
        <v>948</v>
      </c>
      <c r="FB128" s="202" t="s">
        <v>895</v>
      </c>
      <c r="FC128" s="202" t="s">
        <v>4171</v>
      </c>
      <c r="FD128" s="202" t="s">
        <v>4173</v>
      </c>
      <c r="FE128" s="202" t="s">
        <v>4172</v>
      </c>
      <c r="FF128" s="202" t="s">
        <v>899</v>
      </c>
      <c r="FG128" s="202" t="s">
        <v>949</v>
      </c>
      <c r="FH128" s="202" t="s">
        <v>178</v>
      </c>
      <c r="FI128" s="202" t="s">
        <v>950</v>
      </c>
      <c r="FJ128" s="202" t="s">
        <v>951</v>
      </c>
      <c r="FK128" s="202" t="s">
        <v>952</v>
      </c>
      <c r="FL128" s="202" t="s">
        <v>953</v>
      </c>
      <c r="FM128" s="202" t="s">
        <v>954</v>
      </c>
      <c r="FN128" s="202" t="s">
        <v>955</v>
      </c>
      <c r="FO128" s="202" t="s">
        <v>956</v>
      </c>
      <c r="FP128" s="182" t="s">
        <v>957</v>
      </c>
      <c r="FQ128" s="202" t="s">
        <v>958</v>
      </c>
      <c r="FR128" s="202" t="s">
        <v>959</v>
      </c>
      <c r="FS128" s="202" t="s">
        <v>960</v>
      </c>
      <c r="FT128" s="202" t="s">
        <v>961</v>
      </c>
      <c r="FU128" s="202" t="s">
        <v>962</v>
      </c>
      <c r="FV128" s="202" t="s">
        <v>906</v>
      </c>
      <c r="FW128" s="202" t="s">
        <v>963</v>
      </c>
      <c r="FX128" s="202" t="s">
        <v>964</v>
      </c>
      <c r="FY128" s="202" t="s">
        <v>965</v>
      </c>
      <c r="FZ128" s="202" t="s">
        <v>966</v>
      </c>
      <c r="GA128" s="202" t="s">
        <v>967</v>
      </c>
      <c r="GB128" s="202" t="s">
        <v>968</v>
      </c>
      <c r="GC128" s="202" t="s">
        <v>969</v>
      </c>
      <c r="GD128" s="182" t="s">
        <v>970</v>
      </c>
      <c r="GE128" s="202" t="s">
        <v>971</v>
      </c>
      <c r="GF128" s="202" t="s">
        <v>972</v>
      </c>
      <c r="GG128" s="202" t="s">
        <v>973</v>
      </c>
      <c r="GH128" s="202" t="s">
        <v>974</v>
      </c>
      <c r="GI128" s="202" t="s">
        <v>908</v>
      </c>
      <c r="GJ128" s="202" t="s">
        <v>909</v>
      </c>
      <c r="GK128" s="202" t="s">
        <v>910</v>
      </c>
      <c r="GL128" s="202" t="s">
        <v>911</v>
      </c>
      <c r="GM128" s="202" t="s">
        <v>975</v>
      </c>
      <c r="GN128" s="202" t="s">
        <v>913</v>
      </c>
      <c r="GO128" s="202" t="s">
        <v>914</v>
      </c>
      <c r="GP128" s="202" t="s">
        <v>915</v>
      </c>
      <c r="GQ128" s="202" t="s">
        <v>976</v>
      </c>
      <c r="GR128" s="182" t="s">
        <v>977</v>
      </c>
      <c r="GS128" s="182" t="s">
        <v>978</v>
      </c>
      <c r="GT128" s="182" t="s">
        <v>979</v>
      </c>
      <c r="GU128" s="182" t="s">
        <v>980</v>
      </c>
      <c r="GV128" s="182" t="s">
        <v>981</v>
      </c>
      <c r="GW128" s="182" t="s">
        <v>982</v>
      </c>
      <c r="GX128" s="182" t="s">
        <v>983</v>
      </c>
      <c r="GY128" s="182" t="s">
        <v>984</v>
      </c>
      <c r="GZ128" s="182" t="s">
        <v>985</v>
      </c>
      <c r="HA128" s="174">
        <v>1</v>
      </c>
      <c r="HB128" s="197">
        <v>125</v>
      </c>
      <c r="HC128" s="194">
        <v>82</v>
      </c>
      <c r="HD128" s="238">
        <v>107.5</v>
      </c>
      <c r="HE128" s="236">
        <v>25</v>
      </c>
      <c r="HF128" s="183">
        <v>190</v>
      </c>
      <c r="HG128" s="193" t="e">
        <f t="shared" si="11"/>
        <v>#N/A</v>
      </c>
      <c r="HH128" s="192" t="e">
        <f t="shared" si="12"/>
        <v>#N/A</v>
      </c>
      <c r="HI128" s="198">
        <v>25</v>
      </c>
      <c r="HJ128" s="185">
        <v>152.5</v>
      </c>
      <c r="HK128" s="174">
        <v>126</v>
      </c>
      <c r="HL128" s="174">
        <v>508</v>
      </c>
      <c r="HM128" s="174">
        <v>564</v>
      </c>
      <c r="HN128" s="174">
        <v>448</v>
      </c>
      <c r="HO128" s="174">
        <v>246</v>
      </c>
      <c r="HP128" s="174">
        <v>236</v>
      </c>
      <c r="HQ128" s="174">
        <v>226</v>
      </c>
      <c r="HR128" s="174">
        <v>216</v>
      </c>
      <c r="HS128" s="174">
        <v>448</v>
      </c>
      <c r="HT128" s="174">
        <v>438</v>
      </c>
      <c r="HU128" s="174">
        <v>226</v>
      </c>
      <c r="HV128" s="174">
        <v>322</v>
      </c>
      <c r="HW128" s="174">
        <v>216</v>
      </c>
      <c r="HX128" s="174">
        <v>206</v>
      </c>
      <c r="HY128" s="174">
        <v>196</v>
      </c>
      <c r="HZ128" s="174">
        <v>186</v>
      </c>
      <c r="IA128" s="174">
        <v>312</v>
      </c>
      <c r="IB128" s="174">
        <v>292</v>
      </c>
      <c r="IC128" s="174">
        <v>186</v>
      </c>
      <c r="ID128" s="174">
        <v>156</v>
      </c>
      <c r="IE128" s="174">
        <v>136</v>
      </c>
      <c r="IF128" s="174">
        <v>128</v>
      </c>
    </row>
    <row r="129" spans="1:240" ht="13.35" customHeight="1" thickBot="1" x14ac:dyDescent="0.25">
      <c r="A129" s="183">
        <f t="shared" si="9"/>
        <v>128</v>
      </c>
      <c r="B129" s="184">
        <f t="shared" si="16"/>
        <v>66</v>
      </c>
      <c r="C129" s="183">
        <f t="shared" si="15"/>
        <v>1534</v>
      </c>
      <c r="F129" s="174" t="s">
        <v>782</v>
      </c>
      <c r="G129" s="174" t="s">
        <v>783</v>
      </c>
      <c r="H129" s="174" t="s">
        <v>784</v>
      </c>
      <c r="I129" s="174" t="s">
        <v>785</v>
      </c>
      <c r="J129" s="174" t="s">
        <v>786</v>
      </c>
      <c r="K129" s="174" t="s">
        <v>787</v>
      </c>
      <c r="L129" s="174" t="s">
        <v>788</v>
      </c>
      <c r="M129" s="174" t="s">
        <v>789</v>
      </c>
      <c r="N129" s="174" t="s">
        <v>790</v>
      </c>
      <c r="O129" s="174" t="s">
        <v>791</v>
      </c>
      <c r="P129" s="174" t="s">
        <v>792</v>
      </c>
      <c r="Q129" s="174" t="s">
        <v>793</v>
      </c>
      <c r="R129" s="174" t="s">
        <v>794</v>
      </c>
      <c r="S129" s="174" t="s">
        <v>182</v>
      </c>
      <c r="T129" s="174" t="s">
        <v>795</v>
      </c>
      <c r="U129" s="174" t="s">
        <v>796</v>
      </c>
      <c r="V129" s="174" t="s">
        <v>797</v>
      </c>
      <c r="W129" s="174" t="s">
        <v>798</v>
      </c>
      <c r="X129" s="174" t="s">
        <v>799</v>
      </c>
      <c r="Y129" s="174" t="s">
        <v>800</v>
      </c>
      <c r="AA129" s="174" t="str">
        <f>AA117</f>
        <v>Arcanist (AC)</v>
      </c>
      <c r="AB129" s="174" t="str">
        <f>AB117</f>
        <v>Wizard (AC)</v>
      </c>
      <c r="AC129" s="174" t="str">
        <f>AC117</f>
        <v>Chaotic (AC)</v>
      </c>
      <c r="AD129" s="174" t="str">
        <f>AD117</f>
        <v>Magehunter (AC)</v>
      </c>
      <c r="AF129" s="174" t="s">
        <v>805</v>
      </c>
      <c r="AG129" s="174" t="s">
        <v>806</v>
      </c>
      <c r="AH129" s="174" t="s">
        <v>807</v>
      </c>
      <c r="AJ129" s="174" t="s">
        <v>808</v>
      </c>
      <c r="AK129" s="174" t="s">
        <v>809</v>
      </c>
      <c r="AL129" s="174" t="s">
        <v>810</v>
      </c>
      <c r="AM129" s="174" t="s">
        <v>811</v>
      </c>
      <c r="AO129" s="174" t="s">
        <v>812</v>
      </c>
      <c r="AP129" s="174" t="s">
        <v>813</v>
      </c>
      <c r="AQ129" s="174" t="s">
        <v>814</v>
      </c>
      <c r="AS129" s="174" t="s">
        <v>815</v>
      </c>
      <c r="AT129" s="174" t="s">
        <v>816</v>
      </c>
      <c r="AU129" s="174" t="s">
        <v>817</v>
      </c>
      <c r="AV129" s="174" t="s">
        <v>818</v>
      </c>
      <c r="AW129" s="174" t="s">
        <v>819</v>
      </c>
      <c r="AX129" s="174" t="s">
        <v>820</v>
      </c>
      <c r="AY129" s="174" t="s">
        <v>821</v>
      </c>
      <c r="AZ129" s="174" t="s">
        <v>822</v>
      </c>
      <c r="BA129" s="174" t="str">
        <f t="shared" ref="BA129:CQ129" si="18">BA117</f>
        <v>Priest of Culture</v>
      </c>
      <c r="BB129" s="174" t="str">
        <f t="shared" si="18"/>
        <v>Priest of Darkness, Night</v>
      </c>
      <c r="BC129" s="174" t="str">
        <f t="shared" si="18"/>
        <v>Priest of Dawn</v>
      </c>
      <c r="BD129" s="174" t="str">
        <f t="shared" si="18"/>
        <v>Priest of Death</v>
      </c>
      <c r="BE129" s="174" t="str">
        <f t="shared" si="18"/>
        <v>Priest of Disease</v>
      </c>
      <c r="BF129" s="174" t="str">
        <f t="shared" si="18"/>
        <v>Priest of Earth</v>
      </c>
      <c r="BG129" s="174" t="str">
        <f t="shared" si="18"/>
        <v>Priest of Fate, Destiny</v>
      </c>
      <c r="BH129" s="174" t="str">
        <f t="shared" si="18"/>
        <v>Priest of Fertility</v>
      </c>
      <c r="BI129" s="174" t="str">
        <f t="shared" si="18"/>
        <v>Priest of Fire</v>
      </c>
      <c r="BJ129" s="174" t="str">
        <f t="shared" si="18"/>
        <v>Priest of Fortune, Luck</v>
      </c>
      <c r="BK129" s="174" t="str">
        <f t="shared" si="18"/>
        <v>Priest of Guardianship</v>
      </c>
      <c r="BL129" s="174" t="str">
        <f t="shared" si="18"/>
        <v>Priest of Healing</v>
      </c>
      <c r="BM129" s="174" t="str">
        <f t="shared" si="18"/>
        <v>Priest of Hunting</v>
      </c>
      <c r="BN129" s="174" t="str">
        <f t="shared" si="18"/>
        <v>Priest of Justice, Revenge</v>
      </c>
      <c r="BO129" s="174" t="str">
        <f t="shared" si="18"/>
        <v>Priest of Light</v>
      </c>
      <c r="BP129" s="174" t="str">
        <f t="shared" si="18"/>
        <v>Priest of Lightning</v>
      </c>
      <c r="BQ129" s="174" t="str">
        <f t="shared" si="18"/>
        <v>Priest of Literature</v>
      </c>
      <c r="BR129" s="174" t="str">
        <f t="shared" si="18"/>
        <v>Priest of Love</v>
      </c>
      <c r="BS129" s="174" t="str">
        <f t="shared" si="18"/>
        <v>Priest of Magic</v>
      </c>
      <c r="BT129" s="174" t="str">
        <f t="shared" si="18"/>
        <v>Priest of Marriage</v>
      </c>
      <c r="BU129" s="174" t="str">
        <f t="shared" si="18"/>
        <v>Priest of Messengers</v>
      </c>
      <c r="BV129" s="174" t="str">
        <f t="shared" si="18"/>
        <v>Priest of Metalwork</v>
      </c>
      <c r="BW129" s="174" t="str">
        <f t="shared" si="18"/>
        <v>Priest of Mischief/Trickery</v>
      </c>
      <c r="BX129" s="174" t="str">
        <f t="shared" si="18"/>
        <v>Priest of Moon</v>
      </c>
      <c r="BY129" s="174" t="str">
        <f t="shared" si="18"/>
        <v>Priest of Music, Dance</v>
      </c>
      <c r="BZ129" s="174" t="str">
        <f t="shared" si="18"/>
        <v>Priest of Nature</v>
      </c>
      <c r="CA129" s="174" t="str">
        <f t="shared" si="18"/>
        <v>Priest of Ocean, Rivers</v>
      </c>
      <c r="CB129" s="174" t="str">
        <f t="shared" si="18"/>
        <v>Priest of Oracles</v>
      </c>
      <c r="CC129" s="174" t="str">
        <f t="shared" si="18"/>
        <v>Priest of Peace</v>
      </c>
      <c r="CD129" s="174" t="str">
        <f t="shared" si="18"/>
        <v>Priest of Prosperity</v>
      </c>
      <c r="CE129" s="174" t="str">
        <f t="shared" si="18"/>
        <v>Priest of Redemption</v>
      </c>
      <c r="CF129" s="174" t="str">
        <f t="shared" si="18"/>
        <v>Priest of Rulership</v>
      </c>
      <c r="CG129" s="174" t="str">
        <f t="shared" si="18"/>
        <v>Priest of Seasons</v>
      </c>
      <c r="CH129" s="174" t="str">
        <f t="shared" si="18"/>
        <v>Priest of Sky, Weather</v>
      </c>
      <c r="CI129" s="174" t="str">
        <f t="shared" si="18"/>
        <v>Priest of Strength</v>
      </c>
      <c r="CJ129" s="174" t="str">
        <f t="shared" si="18"/>
        <v>Priest of Sun</v>
      </c>
      <c r="CK129" s="174" t="str">
        <f t="shared" si="18"/>
        <v>Priest of Thunder</v>
      </c>
      <c r="CL129" s="174" t="str">
        <f t="shared" si="18"/>
        <v>Priest of Time</v>
      </c>
      <c r="CM129" s="174" t="str">
        <f t="shared" si="18"/>
        <v>Priest of Trade</v>
      </c>
      <c r="CN129" s="174" t="str">
        <f t="shared" si="18"/>
        <v>Priest of Vegetation</v>
      </c>
      <c r="CO129" s="174" t="str">
        <f t="shared" si="18"/>
        <v>Priest of War</v>
      </c>
      <c r="CP129" s="174" t="str">
        <f t="shared" si="18"/>
        <v>Priest of Wind</v>
      </c>
      <c r="CQ129" s="174" t="str">
        <f t="shared" si="18"/>
        <v>Priest of Wisdom</v>
      </c>
      <c r="CS129" s="174" t="str">
        <f>CS117</f>
        <v>Barbarian (FRP)</v>
      </c>
      <c r="CT129" s="174" t="str">
        <f>CT117</f>
        <v>Outrider (FRP)</v>
      </c>
      <c r="CU129" s="174" t="str">
        <f>CU117</f>
        <v>Sage (FRP)</v>
      </c>
      <c r="CV129" s="174" t="str">
        <f>CV117</f>
        <v>Swashbuckler (FRP)</v>
      </c>
      <c r="CX129" s="174" t="s">
        <v>870</v>
      </c>
      <c r="CY129" s="174" t="s">
        <v>871</v>
      </c>
      <c r="CZ129" s="174" t="s">
        <v>872</v>
      </c>
      <c r="DA129" s="174" t="s">
        <v>1149</v>
      </c>
      <c r="DB129" s="174" t="s">
        <v>874</v>
      </c>
      <c r="DC129" s="174" t="s">
        <v>875</v>
      </c>
      <c r="DD129" s="174" t="s">
        <v>876</v>
      </c>
      <c r="DE129" s="174" t="str">
        <f>DE117</f>
        <v>NEW PROF</v>
      </c>
      <c r="DF129" s="174">
        <v>1</v>
      </c>
      <c r="EE129" s="203">
        <v>1.9335999999999995</v>
      </c>
      <c r="EF129" s="174">
        <v>5</v>
      </c>
      <c r="EO129" s="174" t="s">
        <v>1432</v>
      </c>
      <c r="EP129" s="174" t="s">
        <v>1432</v>
      </c>
      <c r="EQ129" s="174" t="s">
        <v>1433</v>
      </c>
      <c r="ER129" s="174" t="s">
        <v>1433</v>
      </c>
      <c r="ES129" s="174" t="s">
        <v>1433</v>
      </c>
      <c r="ET129" s="174" t="s">
        <v>1434</v>
      </c>
      <c r="EU129" s="174" t="s">
        <v>1433</v>
      </c>
      <c r="EV129" s="174" t="s">
        <v>1434</v>
      </c>
      <c r="EW129" s="174" t="s">
        <v>1434</v>
      </c>
      <c r="EX129" s="174" t="s">
        <v>1434</v>
      </c>
      <c r="EY129" s="174" t="s">
        <v>1433</v>
      </c>
      <c r="EZ129" s="174" t="s">
        <v>1433</v>
      </c>
      <c r="FA129" s="174" t="s">
        <v>1433</v>
      </c>
      <c r="FB129" s="174" t="s">
        <v>1435</v>
      </c>
      <c r="FC129" s="174" t="s">
        <v>1436</v>
      </c>
      <c r="FD129" s="174" t="s">
        <v>1437</v>
      </c>
      <c r="FE129" s="174" t="s">
        <v>1438</v>
      </c>
      <c r="FF129" s="174" t="s">
        <v>1438</v>
      </c>
      <c r="FG129" s="174" t="s">
        <v>1439</v>
      </c>
      <c r="FH129" s="174" t="s">
        <v>1440</v>
      </c>
      <c r="FI129" s="174" t="s">
        <v>1441</v>
      </c>
      <c r="FJ129" s="174" t="s">
        <v>1442</v>
      </c>
      <c r="FK129" s="174" t="s">
        <v>1443</v>
      </c>
      <c r="FL129" s="174" t="s">
        <v>1433</v>
      </c>
      <c r="FM129" s="174" t="s">
        <v>1433</v>
      </c>
      <c r="FN129" s="174" t="s">
        <v>1433</v>
      </c>
      <c r="FO129" s="174" t="s">
        <v>1444</v>
      </c>
      <c r="FP129" s="174" t="s">
        <v>1445</v>
      </c>
      <c r="FQ129" s="174" t="s">
        <v>1446</v>
      </c>
      <c r="FR129" s="174" t="s">
        <v>1447</v>
      </c>
      <c r="FS129" s="174" t="s">
        <v>1448</v>
      </c>
      <c r="FT129" s="174" t="s">
        <v>1448</v>
      </c>
      <c r="FU129" s="174" t="s">
        <v>1448</v>
      </c>
      <c r="FV129" s="174" t="s">
        <v>1449</v>
      </c>
      <c r="FW129" s="174" t="s">
        <v>1449</v>
      </c>
      <c r="FX129" s="174" t="s">
        <v>1449</v>
      </c>
      <c r="FY129" s="174" t="s">
        <v>1449</v>
      </c>
      <c r="FZ129" s="174" t="s">
        <v>1450</v>
      </c>
      <c r="GA129" s="174" t="s">
        <v>1451</v>
      </c>
      <c r="GB129" s="174" t="s">
        <v>1452</v>
      </c>
      <c r="GC129" s="174" t="s">
        <v>1453</v>
      </c>
      <c r="GD129" s="174" t="s">
        <v>1441</v>
      </c>
      <c r="GE129" s="174" t="s">
        <v>971</v>
      </c>
      <c r="GF129" s="174" t="s">
        <v>1441</v>
      </c>
      <c r="GG129" s="174" t="s">
        <v>1454</v>
      </c>
      <c r="GH129" s="174" t="s">
        <v>1455</v>
      </c>
      <c r="GK129" s="174" t="s">
        <v>1456</v>
      </c>
      <c r="GL129" s="174" t="s">
        <v>1457</v>
      </c>
      <c r="GM129" s="174" t="s">
        <v>1458</v>
      </c>
      <c r="GN129" s="174" t="s">
        <v>1459</v>
      </c>
      <c r="GP129" s="174" t="s">
        <v>1433</v>
      </c>
      <c r="GQ129" s="174" t="s">
        <v>916</v>
      </c>
      <c r="GR129" s="174" t="s">
        <v>916</v>
      </c>
      <c r="HA129" s="174">
        <v>2</v>
      </c>
      <c r="HB129" s="197">
        <v>126</v>
      </c>
      <c r="HC129" s="194">
        <v>82</v>
      </c>
      <c r="HD129" s="238">
        <v>108</v>
      </c>
      <c r="HE129" s="236">
        <v>25</v>
      </c>
      <c r="HF129" s="183">
        <v>191</v>
      </c>
      <c r="HG129" s="193" t="e">
        <f t="shared" si="11"/>
        <v>#N/A</v>
      </c>
      <c r="HH129" s="192" t="e">
        <f t="shared" si="12"/>
        <v>#N/A</v>
      </c>
      <c r="HI129" s="198">
        <v>25</v>
      </c>
      <c r="HJ129" s="185">
        <v>153</v>
      </c>
      <c r="HK129" s="174">
        <v>127</v>
      </c>
      <c r="HL129" s="174">
        <v>511</v>
      </c>
      <c r="HM129" s="174">
        <v>568</v>
      </c>
      <c r="HN129" s="174">
        <v>451</v>
      </c>
      <c r="HO129" s="174">
        <v>247</v>
      </c>
      <c r="HP129" s="174">
        <v>237</v>
      </c>
      <c r="HQ129" s="174">
        <v>227</v>
      </c>
      <c r="HR129" s="174">
        <v>217</v>
      </c>
      <c r="HS129" s="174">
        <v>451</v>
      </c>
      <c r="HT129" s="174">
        <v>441</v>
      </c>
      <c r="HU129" s="174">
        <v>227</v>
      </c>
      <c r="HV129" s="174">
        <v>324</v>
      </c>
      <c r="HW129" s="174">
        <v>217</v>
      </c>
      <c r="HX129" s="174">
        <v>207</v>
      </c>
      <c r="HY129" s="174">
        <v>197</v>
      </c>
      <c r="HZ129" s="174">
        <v>187</v>
      </c>
      <c r="IA129" s="174">
        <v>314</v>
      </c>
      <c r="IB129" s="174">
        <v>294</v>
      </c>
      <c r="IC129" s="174">
        <v>187</v>
      </c>
      <c r="ID129" s="174">
        <v>157</v>
      </c>
      <c r="IE129" s="174">
        <v>137</v>
      </c>
      <c r="IF129" s="174">
        <v>129</v>
      </c>
    </row>
    <row r="130" spans="1:240" ht="13.35" customHeight="1" thickBot="1" x14ac:dyDescent="0.25">
      <c r="A130" s="183">
        <f t="shared" si="9"/>
        <v>129</v>
      </c>
      <c r="B130" s="184">
        <f t="shared" si="16"/>
        <v>68</v>
      </c>
      <c r="C130" s="183">
        <f t="shared" si="15"/>
        <v>1611</v>
      </c>
      <c r="F130" s="174" t="s">
        <v>1460</v>
      </c>
      <c r="G130" s="174" t="s">
        <v>1460</v>
      </c>
      <c r="H130" s="174" t="s">
        <v>1460</v>
      </c>
      <c r="I130" s="174" t="s">
        <v>1460</v>
      </c>
      <c r="J130" s="174" t="s">
        <v>1460</v>
      </c>
      <c r="K130" s="174" t="s">
        <v>1461</v>
      </c>
      <c r="L130" s="174" t="s">
        <v>1462</v>
      </c>
      <c r="M130" s="174" t="s">
        <v>1463</v>
      </c>
      <c r="N130" s="174" t="s">
        <v>603</v>
      </c>
      <c r="O130" s="174" t="s">
        <v>1464</v>
      </c>
      <c r="P130" s="174" t="s">
        <v>1465</v>
      </c>
      <c r="Q130" s="174" t="s">
        <v>1466</v>
      </c>
      <c r="R130" s="174" t="s">
        <v>1467</v>
      </c>
      <c r="S130" s="174" t="s">
        <v>1468</v>
      </c>
      <c r="T130" s="174" t="s">
        <v>1469</v>
      </c>
      <c r="U130" s="174" t="s">
        <v>1470</v>
      </c>
      <c r="V130" s="174" t="s">
        <v>1471</v>
      </c>
      <c r="W130" s="174" t="s">
        <v>1472</v>
      </c>
      <c r="X130" s="174" t="s">
        <v>1473</v>
      </c>
      <c r="Y130" s="174" t="s">
        <v>1474</v>
      </c>
      <c r="AA130" s="174" t="s">
        <v>1475</v>
      </c>
      <c r="AB130" s="174" t="s">
        <v>1476</v>
      </c>
      <c r="AC130" s="174" t="s">
        <v>1477</v>
      </c>
      <c r="AD130" s="174" t="s">
        <v>1478</v>
      </c>
      <c r="AF130" s="174" t="s">
        <v>1479</v>
      </c>
      <c r="AG130" s="174" t="s">
        <v>1480</v>
      </c>
      <c r="AH130" s="174" t="s">
        <v>1481</v>
      </c>
      <c r="AJ130" s="174" t="s">
        <v>1482</v>
      </c>
      <c r="AK130" s="174" t="s">
        <v>1483</v>
      </c>
      <c r="AL130" s="174" t="s">
        <v>1484</v>
      </c>
      <c r="AM130" s="174" t="s">
        <v>1485</v>
      </c>
      <c r="AO130" s="174" t="s">
        <v>1486</v>
      </c>
      <c r="AP130" s="174" t="s">
        <v>1487</v>
      </c>
      <c r="AQ130" s="174" t="s">
        <v>1488</v>
      </c>
      <c r="AS130" s="174" t="s">
        <v>1489</v>
      </c>
      <c r="AT130" s="174" t="s">
        <v>1489</v>
      </c>
      <c r="AU130" s="174" t="s">
        <v>1463</v>
      </c>
      <c r="AV130" s="174" t="s">
        <v>1490</v>
      </c>
      <c r="AW130" s="174" t="s">
        <v>1491</v>
      </c>
      <c r="AX130" s="174" t="s">
        <v>1489</v>
      </c>
      <c r="AY130" s="174" t="s">
        <v>1489</v>
      </c>
      <c r="AZ130" s="174" t="s">
        <v>1463</v>
      </c>
      <c r="BA130" s="174" t="s">
        <v>1489</v>
      </c>
      <c r="BB130" s="174" t="s">
        <v>1490</v>
      </c>
      <c r="BC130" s="174" t="s">
        <v>1490</v>
      </c>
      <c r="BD130" s="174" t="s">
        <v>1490</v>
      </c>
      <c r="BE130" s="174" t="s">
        <v>1463</v>
      </c>
      <c r="BF130" s="174" t="s">
        <v>1492</v>
      </c>
      <c r="BG130" s="174" t="s">
        <v>1489</v>
      </c>
      <c r="BH130" s="174" t="s">
        <v>1493</v>
      </c>
      <c r="BI130" s="174" t="s">
        <v>1492</v>
      </c>
      <c r="BJ130" s="174" t="s">
        <v>1490</v>
      </c>
      <c r="BK130" s="174" t="s">
        <v>1489</v>
      </c>
      <c r="BL130" s="174" t="s">
        <v>1490</v>
      </c>
      <c r="BM130" s="174" t="s">
        <v>1490</v>
      </c>
      <c r="BN130" s="174" t="s">
        <v>1489</v>
      </c>
      <c r="BO130" s="174" t="s">
        <v>1489</v>
      </c>
      <c r="BP130" s="174" t="s">
        <v>1492</v>
      </c>
      <c r="BQ130" s="174" t="s">
        <v>1490</v>
      </c>
      <c r="BR130" s="174" t="s">
        <v>1492</v>
      </c>
      <c r="BS130" s="174" t="s">
        <v>1490</v>
      </c>
      <c r="BT130" s="174" t="s">
        <v>1463</v>
      </c>
      <c r="BU130" s="174" t="s">
        <v>1490</v>
      </c>
      <c r="BV130" s="174" t="s">
        <v>1489</v>
      </c>
      <c r="BW130" s="174" t="s">
        <v>1490</v>
      </c>
      <c r="BX130" s="174" t="s">
        <v>1489</v>
      </c>
      <c r="BY130" s="174" t="s">
        <v>1489</v>
      </c>
      <c r="BZ130" s="174" t="s">
        <v>1492</v>
      </c>
      <c r="CA130" s="174" t="s">
        <v>1494</v>
      </c>
      <c r="CB130" s="174" t="s">
        <v>1489</v>
      </c>
      <c r="CC130" s="174" t="s">
        <v>1490</v>
      </c>
      <c r="CD130" s="174" t="s">
        <v>1489</v>
      </c>
      <c r="CE130" s="174" t="s">
        <v>1490</v>
      </c>
      <c r="CF130" s="174" t="s">
        <v>1489</v>
      </c>
      <c r="CG130" s="174" t="s">
        <v>1492</v>
      </c>
      <c r="CH130" s="174" t="s">
        <v>1463</v>
      </c>
      <c r="CI130" s="174" t="s">
        <v>1493</v>
      </c>
      <c r="CJ130" s="174" t="s">
        <v>1490</v>
      </c>
      <c r="CK130" s="174" t="s">
        <v>1492</v>
      </c>
      <c r="CL130" s="174" t="s">
        <v>1490</v>
      </c>
      <c r="CM130" s="174" t="s">
        <v>1463</v>
      </c>
      <c r="CN130" s="174" t="s">
        <v>1463</v>
      </c>
      <c r="CO130" s="174" t="s">
        <v>1495</v>
      </c>
      <c r="CP130" s="174" t="s">
        <v>1492</v>
      </c>
      <c r="CQ130" s="174" t="s">
        <v>1463</v>
      </c>
      <c r="CS130" s="174" t="s">
        <v>1460</v>
      </c>
      <c r="CT130" s="174" t="s">
        <v>1460</v>
      </c>
      <c r="CU130" s="174" t="s">
        <v>1460</v>
      </c>
      <c r="CV130" s="174" t="s">
        <v>1460</v>
      </c>
      <c r="CX130" s="174" t="s">
        <v>603</v>
      </c>
      <c r="CY130" s="174" t="s">
        <v>1496</v>
      </c>
      <c r="CZ130" s="174" t="s">
        <v>1496</v>
      </c>
      <c r="DA130" s="174" t="s">
        <v>1460</v>
      </c>
      <c r="DB130" s="174" t="s">
        <v>1497</v>
      </c>
      <c r="DC130" s="174" t="s">
        <v>1497</v>
      </c>
      <c r="DD130" s="174" t="s">
        <v>1497</v>
      </c>
      <c r="DF130" s="174">
        <v>2</v>
      </c>
      <c r="EE130" s="203">
        <v>1.9589999999999994</v>
      </c>
      <c r="EF130" s="174">
        <v>5</v>
      </c>
      <c r="EQ130" s="174" t="s">
        <v>1433</v>
      </c>
      <c r="ER130" s="174" t="s">
        <v>1433</v>
      </c>
      <c r="ES130" s="174" t="s">
        <v>1433</v>
      </c>
      <c r="ET130" s="174" t="s">
        <v>1434</v>
      </c>
      <c r="EU130" s="174" t="s">
        <v>1433</v>
      </c>
      <c r="EV130" s="174" t="s">
        <v>1434</v>
      </c>
      <c r="EW130" s="174" t="s">
        <v>1434</v>
      </c>
      <c r="EX130" s="174" t="s">
        <v>1434</v>
      </c>
      <c r="EY130" s="174" t="s">
        <v>1433</v>
      </c>
      <c r="EZ130" s="174" t="s">
        <v>1433</v>
      </c>
      <c r="FA130" s="174" t="s">
        <v>1433</v>
      </c>
      <c r="FB130" s="174" t="s">
        <v>1435</v>
      </c>
      <c r="FC130" s="174" t="s">
        <v>1436</v>
      </c>
      <c r="FD130" s="174" t="s">
        <v>1437</v>
      </c>
      <c r="FE130" s="174" t="s">
        <v>1438</v>
      </c>
      <c r="FF130" s="174" t="s">
        <v>1438</v>
      </c>
      <c r="FG130" s="174" t="s">
        <v>1439</v>
      </c>
      <c r="FH130" s="174" t="s">
        <v>1440</v>
      </c>
      <c r="FI130" s="174" t="s">
        <v>1441</v>
      </c>
      <c r="FJ130" s="174" t="s">
        <v>1442</v>
      </c>
      <c r="FK130" s="174" t="s">
        <v>1443</v>
      </c>
      <c r="FL130" s="174" t="s">
        <v>1433</v>
      </c>
      <c r="FM130" s="174" t="s">
        <v>1433</v>
      </c>
      <c r="FN130" s="174" t="s">
        <v>1433</v>
      </c>
      <c r="FO130" s="174" t="s">
        <v>1444</v>
      </c>
      <c r="FP130" s="174" t="s">
        <v>1445</v>
      </c>
      <c r="FQ130" s="174" t="s">
        <v>1446</v>
      </c>
      <c r="FR130" s="174" t="s">
        <v>1447</v>
      </c>
      <c r="FS130" s="174" t="s">
        <v>1448</v>
      </c>
      <c r="FT130" s="174" t="s">
        <v>1448</v>
      </c>
      <c r="FU130" s="174" t="s">
        <v>1448</v>
      </c>
      <c r="FZ130" s="174" t="s">
        <v>1450</v>
      </c>
      <c r="GA130" s="174" t="s">
        <v>1451</v>
      </c>
      <c r="GB130" s="174" t="s">
        <v>1452</v>
      </c>
      <c r="GC130" s="174" t="s">
        <v>1453</v>
      </c>
      <c r="GD130" s="174" t="s">
        <v>1441</v>
      </c>
      <c r="GE130" s="174" t="s">
        <v>971</v>
      </c>
      <c r="GF130" s="174" t="s">
        <v>1441</v>
      </c>
      <c r="GG130" s="174" t="s">
        <v>1454</v>
      </c>
      <c r="GH130" s="174" t="s">
        <v>1455</v>
      </c>
      <c r="GK130" s="174" t="s">
        <v>1456</v>
      </c>
      <c r="GL130" s="174" t="s">
        <v>1457</v>
      </c>
      <c r="GM130" s="174" t="s">
        <v>1458</v>
      </c>
      <c r="GN130" s="174" t="s">
        <v>1459</v>
      </c>
      <c r="GP130" s="174" t="s">
        <v>1433</v>
      </c>
      <c r="GQ130" s="174" t="s">
        <v>916</v>
      </c>
      <c r="GR130" s="174" t="s">
        <v>916</v>
      </c>
      <c r="HA130" s="174">
        <v>3</v>
      </c>
      <c r="HB130" s="197">
        <v>127</v>
      </c>
      <c r="HC130" s="194">
        <v>83</v>
      </c>
      <c r="HD130" s="238">
        <v>108.5</v>
      </c>
      <c r="HE130" s="236">
        <v>25</v>
      </c>
      <c r="HF130" s="183">
        <v>192</v>
      </c>
      <c r="HG130" s="193" t="e">
        <f t="shared" si="11"/>
        <v>#N/A</v>
      </c>
      <c r="HH130" s="192" t="e">
        <f t="shared" si="12"/>
        <v>#N/A</v>
      </c>
      <c r="HI130" s="198">
        <v>25</v>
      </c>
      <c r="HJ130" s="185">
        <v>153.5</v>
      </c>
      <c r="HK130" s="174">
        <v>128</v>
      </c>
      <c r="HL130" s="174">
        <v>514</v>
      </c>
      <c r="HM130" s="174">
        <v>572</v>
      </c>
      <c r="HN130" s="174">
        <v>454</v>
      </c>
      <c r="HO130" s="174">
        <v>248</v>
      </c>
      <c r="HP130" s="174">
        <v>238</v>
      </c>
      <c r="HQ130" s="174">
        <v>228</v>
      </c>
      <c r="HR130" s="174">
        <v>218</v>
      </c>
      <c r="HS130" s="174">
        <v>454</v>
      </c>
      <c r="HT130" s="174">
        <v>444</v>
      </c>
      <c r="HU130" s="174">
        <v>228</v>
      </c>
      <c r="HV130" s="174">
        <v>326</v>
      </c>
      <c r="HW130" s="174">
        <v>218</v>
      </c>
      <c r="HX130" s="174">
        <v>208</v>
      </c>
      <c r="HY130" s="174">
        <v>198</v>
      </c>
      <c r="HZ130" s="174">
        <v>188</v>
      </c>
      <c r="IA130" s="174">
        <v>316</v>
      </c>
      <c r="IB130" s="174">
        <v>296</v>
      </c>
      <c r="IC130" s="174">
        <v>188</v>
      </c>
      <c r="ID130" s="174">
        <v>158</v>
      </c>
      <c r="IE130" s="174">
        <v>138</v>
      </c>
      <c r="IF130" s="174">
        <v>130</v>
      </c>
    </row>
    <row r="131" spans="1:240" ht="13.35" customHeight="1" thickBot="1" x14ac:dyDescent="0.25">
      <c r="A131" s="183">
        <f t="shared" ref="A131:A151" si="19">A130+1</f>
        <v>130</v>
      </c>
      <c r="B131" s="184">
        <f t="shared" si="16"/>
        <v>70</v>
      </c>
      <c r="C131" s="183">
        <f t="shared" si="15"/>
        <v>1690</v>
      </c>
      <c r="F131" s="174" t="s">
        <v>1460</v>
      </c>
      <c r="G131" s="174" t="s">
        <v>1460</v>
      </c>
      <c r="H131" s="174" t="s">
        <v>1460</v>
      </c>
      <c r="I131" s="174" t="s">
        <v>1460</v>
      </c>
      <c r="J131" s="174" t="s">
        <v>1460</v>
      </c>
      <c r="K131" s="174" t="s">
        <v>1498</v>
      </c>
      <c r="L131" s="174" t="s">
        <v>1499</v>
      </c>
      <c r="M131" s="174" t="s">
        <v>1490</v>
      </c>
      <c r="N131" s="174" t="s">
        <v>1500</v>
      </c>
      <c r="O131" s="174" t="s">
        <v>1501</v>
      </c>
      <c r="P131" s="174" t="s">
        <v>1502</v>
      </c>
      <c r="Q131" s="174" t="s">
        <v>1503</v>
      </c>
      <c r="R131" s="174" t="s">
        <v>1504</v>
      </c>
      <c r="S131" s="174" t="s">
        <v>1505</v>
      </c>
      <c r="T131" s="174" t="s">
        <v>1506</v>
      </c>
      <c r="U131" s="174" t="s">
        <v>1507</v>
      </c>
      <c r="V131" s="174" t="s">
        <v>1508</v>
      </c>
      <c r="W131" s="174" t="s">
        <v>1509</v>
      </c>
      <c r="X131" s="174" t="s">
        <v>1510</v>
      </c>
      <c r="Y131" s="174" t="s">
        <v>1511</v>
      </c>
      <c r="AA131" s="174" t="s">
        <v>1512</v>
      </c>
      <c r="AB131" s="174" t="s">
        <v>1513</v>
      </c>
      <c r="AC131" s="174" t="s">
        <v>1514</v>
      </c>
      <c r="AD131" s="174" t="s">
        <v>1515</v>
      </c>
      <c r="AF131" s="174" t="s">
        <v>1516</v>
      </c>
      <c r="AG131" s="174" t="s">
        <v>1517</v>
      </c>
      <c r="AH131" s="174" t="s">
        <v>1518</v>
      </c>
      <c r="AJ131" s="174" t="s">
        <v>1519</v>
      </c>
      <c r="AK131" s="174" t="s">
        <v>1520</v>
      </c>
      <c r="AL131" s="174" t="s">
        <v>1521</v>
      </c>
      <c r="AM131" s="174" t="s">
        <v>1522</v>
      </c>
      <c r="AO131" s="174" t="s">
        <v>1523</v>
      </c>
      <c r="AP131" s="174" t="s">
        <v>1524</v>
      </c>
      <c r="AQ131" s="174" t="s">
        <v>1525</v>
      </c>
      <c r="AS131" s="174" t="s">
        <v>1490</v>
      </c>
      <c r="AT131" s="174" t="s">
        <v>1490</v>
      </c>
      <c r="AU131" s="174" t="s">
        <v>1490</v>
      </c>
      <c r="AV131" s="174" t="s">
        <v>1492</v>
      </c>
      <c r="AW131" s="174" t="s">
        <v>1526</v>
      </c>
      <c r="AX131" s="174" t="s">
        <v>1463</v>
      </c>
      <c r="AY131" s="174" t="s">
        <v>1463</v>
      </c>
      <c r="AZ131" s="174" t="s">
        <v>1490</v>
      </c>
      <c r="BA131" s="174" t="s">
        <v>1463</v>
      </c>
      <c r="BB131" s="174" t="s">
        <v>1493</v>
      </c>
      <c r="BC131" s="174" t="s">
        <v>1493</v>
      </c>
      <c r="BD131" s="174" t="s">
        <v>1493</v>
      </c>
      <c r="BE131" s="174" t="s">
        <v>1493</v>
      </c>
      <c r="BF131" s="174" t="s">
        <v>1527</v>
      </c>
      <c r="BG131" s="174" t="s">
        <v>1463</v>
      </c>
      <c r="BH131" s="174" t="s">
        <v>1492</v>
      </c>
      <c r="BI131" s="174" t="s">
        <v>1493</v>
      </c>
      <c r="BJ131" s="174" t="s">
        <v>1528</v>
      </c>
      <c r="BK131" s="174" t="s">
        <v>1527</v>
      </c>
      <c r="BL131" s="174" t="s">
        <v>1529</v>
      </c>
      <c r="BM131" s="174" t="s">
        <v>1530</v>
      </c>
      <c r="BN131" s="174" t="s">
        <v>1490</v>
      </c>
      <c r="BO131" s="174" t="s">
        <v>1490</v>
      </c>
      <c r="BP131" s="174" t="s">
        <v>1528</v>
      </c>
      <c r="BQ131" s="174" t="s">
        <v>1527</v>
      </c>
      <c r="BR131" s="174" t="s">
        <v>1529</v>
      </c>
      <c r="BS131" s="174" t="s">
        <v>1528</v>
      </c>
      <c r="BT131" s="174" t="s">
        <v>1490</v>
      </c>
      <c r="BU131" s="174" t="s">
        <v>1493</v>
      </c>
      <c r="BV131" s="174" t="s">
        <v>1463</v>
      </c>
      <c r="BW131" s="174" t="s">
        <v>1528</v>
      </c>
      <c r="BX131" s="174" t="s">
        <v>1490</v>
      </c>
      <c r="BY131" s="174" t="s">
        <v>1531</v>
      </c>
      <c r="BZ131" s="174" t="s">
        <v>1528</v>
      </c>
      <c r="CA131" s="174" t="s">
        <v>1463</v>
      </c>
      <c r="CB131" s="174" t="s">
        <v>1490</v>
      </c>
      <c r="CC131" s="174" t="s">
        <v>1493</v>
      </c>
      <c r="CD131" s="174" t="s">
        <v>1493</v>
      </c>
      <c r="CE131" s="174" t="s">
        <v>1531</v>
      </c>
      <c r="CF131" s="174" t="s">
        <v>1530</v>
      </c>
      <c r="CG131" s="174" t="s">
        <v>1528</v>
      </c>
      <c r="CH131" s="174" t="s">
        <v>1492</v>
      </c>
      <c r="CI131" s="174" t="s">
        <v>1528</v>
      </c>
      <c r="CJ131" s="174" t="s">
        <v>1528</v>
      </c>
      <c r="CK131" s="174" t="s">
        <v>1527</v>
      </c>
      <c r="CL131" s="174" t="s">
        <v>1532</v>
      </c>
      <c r="CM131" s="174" t="s">
        <v>1490</v>
      </c>
      <c r="CN131" s="174" t="s">
        <v>1490</v>
      </c>
      <c r="CO131" s="174" t="s">
        <v>1493</v>
      </c>
      <c r="CP131" s="174" t="s">
        <v>1527</v>
      </c>
      <c r="CQ131" s="174" t="s">
        <v>1490</v>
      </c>
      <c r="CS131" s="174" t="s">
        <v>1460</v>
      </c>
      <c r="CT131" s="174" t="s">
        <v>1460</v>
      </c>
      <c r="CU131" s="174" t="s">
        <v>1460</v>
      </c>
      <c r="CV131" s="174" t="s">
        <v>1460</v>
      </c>
      <c r="CX131" s="174" t="s">
        <v>1500</v>
      </c>
      <c r="CY131" s="174" t="s">
        <v>1533</v>
      </c>
      <c r="CZ131" s="174" t="s">
        <v>1533</v>
      </c>
      <c r="DA131" s="174" t="s">
        <v>1460</v>
      </c>
      <c r="DB131" s="174" t="s">
        <v>1534</v>
      </c>
      <c r="DC131" s="174" t="s">
        <v>1535</v>
      </c>
      <c r="DD131" s="174" t="s">
        <v>1536</v>
      </c>
      <c r="DF131" s="174">
        <v>3</v>
      </c>
      <c r="EE131" s="203">
        <v>1.9843999999999995</v>
      </c>
      <c r="EF131" s="174">
        <v>5</v>
      </c>
      <c r="EO131" s="174" t="s">
        <v>1433</v>
      </c>
      <c r="EP131" s="174" t="s">
        <v>1433</v>
      </c>
      <c r="ET131" s="174" t="s">
        <v>1433</v>
      </c>
      <c r="EU131" s="174" t="s">
        <v>1438</v>
      </c>
      <c r="EV131" s="174" t="s">
        <v>1433</v>
      </c>
      <c r="EW131" s="174" t="s">
        <v>1433</v>
      </c>
      <c r="EX131" s="174" t="s">
        <v>1433</v>
      </c>
      <c r="EY131" s="174" t="s">
        <v>1438</v>
      </c>
      <c r="FA131" s="174" t="s">
        <v>1438</v>
      </c>
      <c r="FB131" s="174" t="s">
        <v>1433</v>
      </c>
      <c r="FC131" s="174" t="s">
        <v>1438</v>
      </c>
      <c r="FD131" s="174" t="s">
        <v>1438</v>
      </c>
      <c r="FE131" s="174" t="s">
        <v>1433</v>
      </c>
      <c r="FF131" s="174" t="s">
        <v>1433</v>
      </c>
      <c r="FG131" s="174" t="s">
        <v>1442</v>
      </c>
      <c r="FH131" s="174" t="s">
        <v>1537</v>
      </c>
      <c r="FI131" s="174" t="s">
        <v>1442</v>
      </c>
      <c r="FL131" s="174" t="s">
        <v>1437</v>
      </c>
      <c r="FO131" s="174" t="s">
        <v>1442</v>
      </c>
      <c r="FQ131" s="174" t="s">
        <v>1433</v>
      </c>
      <c r="FR131" s="174" t="s">
        <v>1433</v>
      </c>
      <c r="FS131" s="174" t="s">
        <v>1433</v>
      </c>
      <c r="FT131" s="174" t="s">
        <v>1433</v>
      </c>
      <c r="FU131" s="174" t="s">
        <v>1433</v>
      </c>
      <c r="FV131" s="174" t="s">
        <v>1433</v>
      </c>
      <c r="FW131" s="174" t="s">
        <v>1433</v>
      </c>
      <c r="FX131" s="174" t="s">
        <v>1433</v>
      </c>
      <c r="FY131" s="174" t="s">
        <v>1433</v>
      </c>
      <c r="FZ131" s="174" t="s">
        <v>1446</v>
      </c>
      <c r="GA131" s="174" t="s">
        <v>1453</v>
      </c>
      <c r="GB131" s="174" t="s">
        <v>1538</v>
      </c>
      <c r="GC131" s="174" t="s">
        <v>1442</v>
      </c>
      <c r="GD131" s="174" t="s">
        <v>1442</v>
      </c>
      <c r="GE131" s="174" t="s">
        <v>1538</v>
      </c>
      <c r="GF131" s="174" t="s">
        <v>1538</v>
      </c>
      <c r="GG131" s="174" t="s">
        <v>1453</v>
      </c>
      <c r="GH131" s="174" t="s">
        <v>1453</v>
      </c>
      <c r="GL131" s="174" t="s">
        <v>1433</v>
      </c>
      <c r="GN131" s="174" t="s">
        <v>1539</v>
      </c>
      <c r="GP131" s="174" t="s">
        <v>1459</v>
      </c>
      <c r="GQ131" s="174" t="s">
        <v>1540</v>
      </c>
      <c r="GR131" s="174" t="s">
        <v>1541</v>
      </c>
      <c r="HA131" s="174">
        <v>4</v>
      </c>
      <c r="HB131" s="197">
        <v>128</v>
      </c>
      <c r="HC131" s="194">
        <v>83</v>
      </c>
      <c r="HD131" s="238">
        <v>109</v>
      </c>
      <c r="HE131" s="236">
        <v>25</v>
      </c>
      <c r="HF131" s="183">
        <v>193</v>
      </c>
      <c r="HG131" s="193" t="e">
        <f t="shared" ref="HG131:HG194" si="20">HLOOKUP($B$154,$HK$1:$IF$202,$IF130,0)</f>
        <v>#N/A</v>
      </c>
      <c r="HH131" s="192" t="e">
        <f t="shared" si="12"/>
        <v>#N/A</v>
      </c>
      <c r="HI131" s="198">
        <v>25</v>
      </c>
      <c r="HJ131" s="185">
        <v>154</v>
      </c>
      <c r="HK131" s="174">
        <v>129</v>
      </c>
      <c r="HL131" s="174">
        <v>517</v>
      </c>
      <c r="HM131" s="174">
        <v>576</v>
      </c>
      <c r="HN131" s="174">
        <v>457</v>
      </c>
      <c r="HO131" s="174">
        <v>249</v>
      </c>
      <c r="HP131" s="174">
        <v>239</v>
      </c>
      <c r="HQ131" s="174">
        <v>229</v>
      </c>
      <c r="HR131" s="174">
        <v>219</v>
      </c>
      <c r="HS131" s="174">
        <v>457</v>
      </c>
      <c r="HT131" s="174">
        <v>447</v>
      </c>
      <c r="HU131" s="174">
        <v>229</v>
      </c>
      <c r="HV131" s="174">
        <v>328</v>
      </c>
      <c r="HW131" s="174">
        <v>219</v>
      </c>
      <c r="HX131" s="174">
        <v>209</v>
      </c>
      <c r="HY131" s="174">
        <v>199</v>
      </c>
      <c r="HZ131" s="174">
        <v>189</v>
      </c>
      <c r="IA131" s="174">
        <v>318</v>
      </c>
      <c r="IB131" s="174">
        <v>298</v>
      </c>
      <c r="IC131" s="174">
        <v>189</v>
      </c>
      <c r="ID131" s="174">
        <v>159</v>
      </c>
      <c r="IE131" s="174">
        <v>139</v>
      </c>
      <c r="IF131" s="174">
        <v>131</v>
      </c>
    </row>
    <row r="132" spans="1:240" ht="13.35" customHeight="1" thickBot="1" x14ac:dyDescent="0.25">
      <c r="A132" s="183">
        <f t="shared" si="19"/>
        <v>131</v>
      </c>
      <c r="B132" s="184">
        <f t="shared" si="16"/>
        <v>72</v>
      </c>
      <c r="C132" s="183">
        <f t="shared" si="15"/>
        <v>1771</v>
      </c>
      <c r="F132" s="174" t="s">
        <v>1460</v>
      </c>
      <c r="G132" s="174" t="s">
        <v>1460</v>
      </c>
      <c r="H132" s="174" t="s">
        <v>1460</v>
      </c>
      <c r="I132" s="174" t="s">
        <v>1460</v>
      </c>
      <c r="J132" s="174" t="s">
        <v>1460</v>
      </c>
      <c r="K132" s="174" t="s">
        <v>1542</v>
      </c>
      <c r="L132" s="174" t="s">
        <v>1543</v>
      </c>
      <c r="M132" s="174" t="s">
        <v>1529</v>
      </c>
      <c r="N132" s="174" t="s">
        <v>1544</v>
      </c>
      <c r="O132" s="174" t="s">
        <v>1545</v>
      </c>
      <c r="P132" s="174" t="s">
        <v>1546</v>
      </c>
      <c r="Q132" s="174" t="s">
        <v>1547</v>
      </c>
      <c r="R132" s="174" t="s">
        <v>675</v>
      </c>
      <c r="S132" s="174" t="s">
        <v>1548</v>
      </c>
      <c r="T132" s="174" t="s">
        <v>1549</v>
      </c>
      <c r="U132" s="174" t="s">
        <v>1550</v>
      </c>
      <c r="V132" s="174" t="s">
        <v>1551</v>
      </c>
      <c r="W132" s="174" t="s">
        <v>1552</v>
      </c>
      <c r="X132" s="174" t="s">
        <v>1553</v>
      </c>
      <c r="Y132" s="174" t="s">
        <v>1554</v>
      </c>
      <c r="AA132" s="174" t="s">
        <v>1555</v>
      </c>
      <c r="AB132" s="174" t="s">
        <v>1556</v>
      </c>
      <c r="AC132" s="174" t="s">
        <v>1557</v>
      </c>
      <c r="AD132" s="174" t="s">
        <v>1558</v>
      </c>
      <c r="AF132" s="174" t="s">
        <v>1559</v>
      </c>
      <c r="AG132" s="174" t="s">
        <v>1560</v>
      </c>
      <c r="AH132" s="174" t="s">
        <v>1561</v>
      </c>
      <c r="AJ132" s="174" t="s">
        <v>1562</v>
      </c>
      <c r="AK132" s="174" t="s">
        <v>1563</v>
      </c>
      <c r="AL132" s="174" t="s">
        <v>1564</v>
      </c>
      <c r="AM132" s="174" t="s">
        <v>1565</v>
      </c>
      <c r="AO132" s="174" t="s">
        <v>1566</v>
      </c>
      <c r="AP132" s="174" t="s">
        <v>1567</v>
      </c>
      <c r="AQ132" s="174" t="s">
        <v>1568</v>
      </c>
      <c r="AS132" s="174" t="s">
        <v>1569</v>
      </c>
      <c r="AT132" s="174" t="s">
        <v>1493</v>
      </c>
      <c r="AU132" s="174" t="s">
        <v>1492</v>
      </c>
      <c r="AV132" s="174" t="s">
        <v>1528</v>
      </c>
      <c r="AW132" s="174" t="s">
        <v>1529</v>
      </c>
      <c r="AX132" s="174" t="s">
        <v>1491</v>
      </c>
      <c r="AY132" s="174" t="s">
        <v>1490</v>
      </c>
      <c r="AZ132" s="174" t="s">
        <v>1528</v>
      </c>
      <c r="BA132" s="174" t="s">
        <v>1490</v>
      </c>
      <c r="BB132" s="174" t="s">
        <v>1491</v>
      </c>
      <c r="BC132" s="174" t="s">
        <v>1491</v>
      </c>
      <c r="BD132" s="174" t="s">
        <v>1491</v>
      </c>
      <c r="BE132" s="174" t="s">
        <v>1570</v>
      </c>
      <c r="BF132" s="174" t="s">
        <v>1528</v>
      </c>
      <c r="BG132" s="174" t="s">
        <v>1490</v>
      </c>
      <c r="BH132" s="174" t="s">
        <v>1529</v>
      </c>
      <c r="BI132" s="174" t="s">
        <v>1528</v>
      </c>
      <c r="BJ132" s="174" t="s">
        <v>1491</v>
      </c>
      <c r="BK132" s="174" t="s">
        <v>1571</v>
      </c>
      <c r="BL132" s="174" t="s">
        <v>1491</v>
      </c>
      <c r="BM132" s="174" t="s">
        <v>1572</v>
      </c>
      <c r="BN132" s="174" t="s">
        <v>1573</v>
      </c>
      <c r="BO132" s="174" t="s">
        <v>1493</v>
      </c>
      <c r="BP132" s="174" t="s">
        <v>1571</v>
      </c>
      <c r="BQ132" s="174" t="s">
        <v>1528</v>
      </c>
      <c r="BR132" s="174" t="s">
        <v>1491</v>
      </c>
      <c r="BS132" s="174" t="s">
        <v>1491</v>
      </c>
      <c r="BT132" s="174" t="s">
        <v>1573</v>
      </c>
      <c r="BU132" s="174" t="s">
        <v>1573</v>
      </c>
      <c r="BV132" s="174" t="s">
        <v>1492</v>
      </c>
      <c r="BW132" s="174" t="s">
        <v>1573</v>
      </c>
      <c r="BX132" s="174" t="s">
        <v>1493</v>
      </c>
      <c r="BY132" s="174" t="s">
        <v>1492</v>
      </c>
      <c r="BZ132" s="174" t="s">
        <v>1574</v>
      </c>
      <c r="CA132" s="174" t="s">
        <v>1490</v>
      </c>
      <c r="CB132" s="174" t="s">
        <v>1493</v>
      </c>
      <c r="CC132" s="174" t="s">
        <v>1573</v>
      </c>
      <c r="CD132" s="174" t="s">
        <v>1573</v>
      </c>
      <c r="CE132" s="174" t="s">
        <v>1575</v>
      </c>
      <c r="CF132" s="174" t="s">
        <v>1575</v>
      </c>
      <c r="CG132" s="174" t="s">
        <v>1574</v>
      </c>
      <c r="CH132" s="174" t="s">
        <v>1528</v>
      </c>
      <c r="CI132" s="174" t="s">
        <v>1575</v>
      </c>
      <c r="CJ132" s="174" t="s">
        <v>1532</v>
      </c>
      <c r="CK132" s="174" t="s">
        <v>1571</v>
      </c>
      <c r="CL132" s="174" t="s">
        <v>1529</v>
      </c>
      <c r="CM132" s="174" t="s">
        <v>1530</v>
      </c>
      <c r="CN132" s="174" t="s">
        <v>1527</v>
      </c>
      <c r="CO132" s="174" t="s">
        <v>1527</v>
      </c>
      <c r="CP132" s="174" t="s">
        <v>1528</v>
      </c>
      <c r="CQ132" s="174" t="s">
        <v>1492</v>
      </c>
      <c r="CS132" s="174" t="s">
        <v>1460</v>
      </c>
      <c r="CT132" s="174" t="s">
        <v>1460</v>
      </c>
      <c r="CU132" s="174" t="s">
        <v>1460</v>
      </c>
      <c r="CV132" s="174" t="s">
        <v>1460</v>
      </c>
      <c r="CX132" s="174" t="s">
        <v>1544</v>
      </c>
      <c r="CY132" s="174" t="s">
        <v>1576</v>
      </c>
      <c r="CZ132" s="174" t="s">
        <v>1577</v>
      </c>
      <c r="DA132" s="174" t="s">
        <v>1460</v>
      </c>
      <c r="DB132" s="174" t="s">
        <v>1578</v>
      </c>
      <c r="DC132" s="174" t="s">
        <v>1579</v>
      </c>
      <c r="DD132" s="174" t="s">
        <v>1580</v>
      </c>
      <c r="DF132" s="174">
        <v>4</v>
      </c>
      <c r="EE132" s="203">
        <v>2.0097999999999994</v>
      </c>
      <c r="EF132" s="174">
        <v>5</v>
      </c>
      <c r="EO132" s="174" t="s">
        <v>1433</v>
      </c>
      <c r="EP132" s="174" t="s">
        <v>1433</v>
      </c>
      <c r="ET132" s="174" t="s">
        <v>1433</v>
      </c>
      <c r="EU132" s="174" t="s">
        <v>1438</v>
      </c>
      <c r="EV132" s="174" t="s">
        <v>1433</v>
      </c>
      <c r="EW132" s="174" t="s">
        <v>1433</v>
      </c>
      <c r="EX132" s="174" t="s">
        <v>1433</v>
      </c>
      <c r="EY132" s="174" t="s">
        <v>1438</v>
      </c>
      <c r="FA132" s="174" t="s">
        <v>1438</v>
      </c>
      <c r="FB132" s="174" t="s">
        <v>1433</v>
      </c>
      <c r="FC132" s="174" t="s">
        <v>1438</v>
      </c>
      <c r="FD132" s="174" t="s">
        <v>1438</v>
      </c>
      <c r="FE132" s="174" t="s">
        <v>1433</v>
      </c>
      <c r="FF132" s="174" t="s">
        <v>1433</v>
      </c>
      <c r="FG132" s="174" t="s">
        <v>1442</v>
      </c>
      <c r="FI132" s="174" t="s">
        <v>1442</v>
      </c>
      <c r="FL132" s="174" t="s">
        <v>1437</v>
      </c>
      <c r="FO132" s="174" t="s">
        <v>1438</v>
      </c>
      <c r="FQ132" s="174" t="s">
        <v>1433</v>
      </c>
      <c r="FR132" s="174" t="s">
        <v>1433</v>
      </c>
      <c r="FS132" s="174" t="s">
        <v>1433</v>
      </c>
      <c r="FT132" s="174" t="s">
        <v>1433</v>
      </c>
      <c r="FU132" s="174" t="s">
        <v>1433</v>
      </c>
      <c r="FZ132" s="174" t="s">
        <v>1446</v>
      </c>
      <c r="GA132" s="174" t="s">
        <v>1453</v>
      </c>
      <c r="GB132" s="174" t="s">
        <v>1538</v>
      </c>
      <c r="GC132" s="174" t="s">
        <v>1442</v>
      </c>
      <c r="GD132" s="174" t="s">
        <v>1442</v>
      </c>
      <c r="GE132" s="174" t="s">
        <v>1538</v>
      </c>
      <c r="GF132" s="174" t="s">
        <v>1538</v>
      </c>
      <c r="GG132" s="174" t="s">
        <v>1453</v>
      </c>
      <c r="GH132" s="174" t="s">
        <v>1453</v>
      </c>
      <c r="GL132" s="174" t="s">
        <v>1433</v>
      </c>
      <c r="GN132" s="174" t="s">
        <v>1539</v>
      </c>
      <c r="GP132" s="174" t="s">
        <v>1459</v>
      </c>
      <c r="GQ132" s="174" t="s">
        <v>1540</v>
      </c>
      <c r="GR132" s="174" t="s">
        <v>1541</v>
      </c>
      <c r="HA132" s="174">
        <v>5</v>
      </c>
      <c r="HB132" s="197">
        <v>129</v>
      </c>
      <c r="HC132" s="194">
        <v>84</v>
      </c>
      <c r="HD132" s="238">
        <v>109.5</v>
      </c>
      <c r="HE132" s="236">
        <v>25</v>
      </c>
      <c r="HF132" s="183">
        <v>194</v>
      </c>
      <c r="HG132" s="193" t="e">
        <f t="shared" si="20"/>
        <v>#N/A</v>
      </c>
      <c r="HH132" s="192" t="e">
        <f t="shared" ref="HH132:HH195" si="21">HLOOKUP($B$155,$HK$1:$IG$202,$IF131,0)</f>
        <v>#N/A</v>
      </c>
      <c r="HI132" s="198">
        <v>25</v>
      </c>
      <c r="HJ132" s="185">
        <v>154.5</v>
      </c>
      <c r="HK132" s="182">
        <v>130</v>
      </c>
      <c r="HL132" s="182">
        <v>520</v>
      </c>
      <c r="HM132" s="182">
        <v>580</v>
      </c>
      <c r="HN132" s="182">
        <v>460</v>
      </c>
      <c r="HO132" s="182">
        <v>250</v>
      </c>
      <c r="HP132" s="182">
        <v>240</v>
      </c>
      <c r="HQ132" s="182">
        <v>230</v>
      </c>
      <c r="HR132" s="182">
        <v>220</v>
      </c>
      <c r="HS132" s="174">
        <v>460</v>
      </c>
      <c r="HT132" s="174">
        <v>450</v>
      </c>
      <c r="HU132" s="182">
        <v>230</v>
      </c>
      <c r="HV132" s="182">
        <v>330</v>
      </c>
      <c r="HW132" s="182">
        <v>220</v>
      </c>
      <c r="HX132" s="182">
        <v>210</v>
      </c>
      <c r="HY132" s="182">
        <v>200</v>
      </c>
      <c r="HZ132" s="182">
        <v>190</v>
      </c>
      <c r="IA132" s="174">
        <v>320</v>
      </c>
      <c r="IB132" s="182">
        <v>300</v>
      </c>
      <c r="IC132" s="182">
        <v>190</v>
      </c>
      <c r="ID132" s="182">
        <v>160</v>
      </c>
      <c r="IE132" s="182">
        <v>140</v>
      </c>
      <c r="IF132" s="182">
        <v>132</v>
      </c>
    </row>
    <row r="133" spans="1:240" ht="13.35" customHeight="1" thickBot="1" x14ac:dyDescent="0.25">
      <c r="A133" s="183">
        <f t="shared" si="19"/>
        <v>132</v>
      </c>
      <c r="B133" s="184">
        <f t="shared" si="16"/>
        <v>74</v>
      </c>
      <c r="C133" s="183">
        <f t="shared" si="15"/>
        <v>1854</v>
      </c>
      <c r="F133" s="174" t="s">
        <v>1460</v>
      </c>
      <c r="G133" s="174" t="s">
        <v>1460</v>
      </c>
      <c r="H133" s="174" t="s">
        <v>1460</v>
      </c>
      <c r="I133" s="174" t="s">
        <v>1460</v>
      </c>
      <c r="J133" s="174" t="s">
        <v>1460</v>
      </c>
      <c r="K133" s="174" t="s">
        <v>1581</v>
      </c>
      <c r="L133" s="174" t="s">
        <v>1582</v>
      </c>
      <c r="M133" s="174" t="s">
        <v>1526</v>
      </c>
      <c r="N133" s="174" t="s">
        <v>1583</v>
      </c>
      <c r="O133" s="174" t="s">
        <v>1584</v>
      </c>
      <c r="P133" s="174" t="s">
        <v>1585</v>
      </c>
      <c r="Q133" s="174" t="s">
        <v>1586</v>
      </c>
      <c r="R133" s="174" t="s">
        <v>1587</v>
      </c>
      <c r="S133" s="174" t="s">
        <v>1588</v>
      </c>
      <c r="T133" s="174" t="s">
        <v>1589</v>
      </c>
      <c r="U133" s="174" t="s">
        <v>1590</v>
      </c>
      <c r="V133" s="174" t="s">
        <v>1591</v>
      </c>
      <c r="W133" s="174" t="s">
        <v>1592</v>
      </c>
      <c r="X133" s="174" t="s">
        <v>1593</v>
      </c>
      <c r="Y133" s="174" t="s">
        <v>1594</v>
      </c>
      <c r="AA133" s="174" t="s">
        <v>1595</v>
      </c>
      <c r="AB133" s="174" t="s">
        <v>1596</v>
      </c>
      <c r="AC133" s="174" t="s">
        <v>1597</v>
      </c>
      <c r="AD133" s="174" t="s">
        <v>1598</v>
      </c>
      <c r="AF133" s="174" t="s">
        <v>1599</v>
      </c>
      <c r="AG133" s="174" t="s">
        <v>1600</v>
      </c>
      <c r="AH133" s="174" t="s">
        <v>1601</v>
      </c>
      <c r="AJ133" s="174" t="s">
        <v>1602</v>
      </c>
      <c r="AK133" s="174" t="s">
        <v>1603</v>
      </c>
      <c r="AL133" s="174" t="s">
        <v>1604</v>
      </c>
      <c r="AM133" s="174" t="s">
        <v>1605</v>
      </c>
      <c r="AO133" s="174" t="s">
        <v>1606</v>
      </c>
      <c r="AP133" s="174" t="s">
        <v>1607</v>
      </c>
      <c r="AQ133" s="174" t="s">
        <v>1608</v>
      </c>
      <c r="AS133" s="174" t="s">
        <v>1526</v>
      </c>
      <c r="AT133" s="174" t="s">
        <v>1492</v>
      </c>
      <c r="AU133" s="174" t="s">
        <v>1491</v>
      </c>
      <c r="AV133" s="174" t="s">
        <v>1526</v>
      </c>
      <c r="AW133" s="174" t="s">
        <v>1609</v>
      </c>
      <c r="AX133" s="174" t="s">
        <v>1526</v>
      </c>
      <c r="AY133" s="174" t="s">
        <v>1492</v>
      </c>
      <c r="AZ133" s="174" t="s">
        <v>1575</v>
      </c>
      <c r="BA133" s="174" t="s">
        <v>1575</v>
      </c>
      <c r="BB133" s="174" t="s">
        <v>1526</v>
      </c>
      <c r="BC133" s="174" t="s">
        <v>1526</v>
      </c>
      <c r="BD133" s="174" t="s">
        <v>1526</v>
      </c>
      <c r="BE133" s="174" t="s">
        <v>1569</v>
      </c>
      <c r="BF133" s="174" t="s">
        <v>1569</v>
      </c>
      <c r="BG133" s="174" t="s">
        <v>1493</v>
      </c>
      <c r="BH133" s="174" t="s">
        <v>1491</v>
      </c>
      <c r="BI133" s="174" t="s">
        <v>1532</v>
      </c>
      <c r="BJ133" s="174" t="s">
        <v>1526</v>
      </c>
      <c r="BK133" s="174" t="s">
        <v>1573</v>
      </c>
      <c r="BL133" s="174" t="s">
        <v>1526</v>
      </c>
      <c r="BM133" s="174" t="s">
        <v>1526</v>
      </c>
      <c r="BN133" s="174" t="s">
        <v>1528</v>
      </c>
      <c r="BO133" s="174" t="s">
        <v>1491</v>
      </c>
      <c r="BP133" s="174" t="s">
        <v>1574</v>
      </c>
      <c r="BQ133" s="174" t="s">
        <v>1491</v>
      </c>
      <c r="BR133" s="174" t="s">
        <v>1526</v>
      </c>
      <c r="BS133" s="174" t="s">
        <v>1526</v>
      </c>
      <c r="BT133" s="174" t="s">
        <v>1491</v>
      </c>
      <c r="BU133" s="174" t="s">
        <v>1528</v>
      </c>
      <c r="BV133" s="174" t="s">
        <v>1527</v>
      </c>
      <c r="BW133" s="174" t="s">
        <v>1491</v>
      </c>
      <c r="BX133" s="174" t="s">
        <v>1528</v>
      </c>
      <c r="BY133" s="174" t="s">
        <v>1528</v>
      </c>
      <c r="BZ133" s="174" t="s">
        <v>1569</v>
      </c>
      <c r="CA133" s="174" t="s">
        <v>1528</v>
      </c>
      <c r="CB133" s="174" t="s">
        <v>1528</v>
      </c>
      <c r="CC133" s="174" t="s">
        <v>1491</v>
      </c>
      <c r="CD133" s="174" t="s">
        <v>1575</v>
      </c>
      <c r="CE133" s="174" t="s">
        <v>1571</v>
      </c>
      <c r="CF133" s="174" t="s">
        <v>1528</v>
      </c>
      <c r="CG133" s="174" t="s">
        <v>1569</v>
      </c>
      <c r="CH133" s="174" t="s">
        <v>1532</v>
      </c>
      <c r="CI133" s="174" t="s">
        <v>1571</v>
      </c>
      <c r="CJ133" s="174" t="s">
        <v>1529</v>
      </c>
      <c r="CK133" s="174" t="s">
        <v>1532</v>
      </c>
      <c r="CL133" s="174" t="s">
        <v>1526</v>
      </c>
      <c r="CM133" s="174" t="s">
        <v>1532</v>
      </c>
      <c r="CN133" s="174" t="s">
        <v>1532</v>
      </c>
      <c r="CO133" s="174" t="s">
        <v>1571</v>
      </c>
      <c r="CP133" s="174" t="s">
        <v>1574</v>
      </c>
      <c r="CQ133" s="174" t="s">
        <v>1610</v>
      </c>
      <c r="CS133" s="174" t="s">
        <v>1460</v>
      </c>
      <c r="CT133" s="174" t="s">
        <v>1460</v>
      </c>
      <c r="CU133" s="174" t="s">
        <v>1460</v>
      </c>
      <c r="CV133" s="174" t="s">
        <v>1460</v>
      </c>
      <c r="CX133" s="174" t="s">
        <v>1611</v>
      </c>
      <c r="CY133" s="174" t="s">
        <v>1612</v>
      </c>
      <c r="CZ133" s="174" t="s">
        <v>1576</v>
      </c>
      <c r="DA133" s="174" t="s">
        <v>1460</v>
      </c>
      <c r="DB133" s="174" t="s">
        <v>1613</v>
      </c>
      <c r="DC133" s="174" t="s">
        <v>1614</v>
      </c>
      <c r="DD133" s="174" t="s">
        <v>1615</v>
      </c>
      <c r="DF133" s="174">
        <v>5</v>
      </c>
      <c r="EE133" s="203">
        <v>2.0351999999999992</v>
      </c>
      <c r="EF133" s="174">
        <v>5</v>
      </c>
      <c r="ET133" s="174" t="s">
        <v>1438</v>
      </c>
      <c r="EV133" s="174" t="s">
        <v>1446</v>
      </c>
      <c r="EW133" s="174" t="s">
        <v>1446</v>
      </c>
      <c r="EX133" s="174" t="s">
        <v>1446</v>
      </c>
      <c r="FB133" s="174" t="s">
        <v>1438</v>
      </c>
      <c r="FC133" s="174" t="s">
        <v>1433</v>
      </c>
      <c r="FD133" s="174" t="s">
        <v>1433</v>
      </c>
      <c r="FE133" s="174" t="s">
        <v>1437</v>
      </c>
      <c r="FF133" s="174" t="s">
        <v>1436</v>
      </c>
      <c r="FG133" s="174" t="s">
        <v>1432</v>
      </c>
      <c r="FH133" s="174" t="s">
        <v>1442</v>
      </c>
      <c r="FI133" s="174" t="s">
        <v>1437</v>
      </c>
      <c r="FO133" s="174" t="s">
        <v>1438</v>
      </c>
      <c r="FQ133" s="174" t="s">
        <v>1447</v>
      </c>
      <c r="FR133" s="174" t="s">
        <v>1446</v>
      </c>
      <c r="FZ133" s="174" t="s">
        <v>1433</v>
      </c>
      <c r="GA133" s="174" t="s">
        <v>1616</v>
      </c>
      <c r="GB133" s="174" t="s">
        <v>1616</v>
      </c>
      <c r="GC133" s="174" t="s">
        <v>1616</v>
      </c>
      <c r="GD133" s="174" t="s">
        <v>1616</v>
      </c>
      <c r="GE133" s="174" t="s">
        <v>1616</v>
      </c>
      <c r="GF133" s="174" t="s">
        <v>1616</v>
      </c>
      <c r="GG133" s="174" t="s">
        <v>1616</v>
      </c>
      <c r="GH133" s="174" t="s">
        <v>1616</v>
      </c>
      <c r="GL133" s="174" t="s">
        <v>1449</v>
      </c>
      <c r="GN133" s="174" t="s">
        <v>1433</v>
      </c>
      <c r="GP133" s="174" t="s">
        <v>1617</v>
      </c>
      <c r="GQ133" s="174" t="s">
        <v>1618</v>
      </c>
      <c r="GR133" s="174" t="s">
        <v>1540</v>
      </c>
      <c r="HA133" s="174">
        <v>6</v>
      </c>
      <c r="HB133" s="197">
        <v>130</v>
      </c>
      <c r="HC133" s="194">
        <v>84</v>
      </c>
      <c r="HD133" s="238">
        <v>110</v>
      </c>
      <c r="HE133" s="236">
        <v>25</v>
      </c>
      <c r="HF133" s="183">
        <v>195</v>
      </c>
      <c r="HG133" s="193" t="e">
        <f t="shared" si="20"/>
        <v>#N/A</v>
      </c>
      <c r="HH133" s="192" t="e">
        <f t="shared" si="21"/>
        <v>#N/A</v>
      </c>
      <c r="HI133" s="198">
        <v>25</v>
      </c>
      <c r="HJ133" s="185">
        <v>155</v>
      </c>
      <c r="HK133" s="174">
        <v>131</v>
      </c>
      <c r="HL133" s="174">
        <v>523</v>
      </c>
      <c r="HM133" s="174">
        <v>584</v>
      </c>
      <c r="HN133" s="174">
        <v>463</v>
      </c>
      <c r="HO133" s="174">
        <v>251</v>
      </c>
      <c r="HP133" s="174">
        <v>241</v>
      </c>
      <c r="HQ133" s="174">
        <v>231</v>
      </c>
      <c r="HR133" s="174">
        <v>221</v>
      </c>
      <c r="HS133" s="174">
        <v>463</v>
      </c>
      <c r="HT133" s="174">
        <v>453</v>
      </c>
      <c r="HU133" s="174">
        <v>231</v>
      </c>
      <c r="HV133" s="174">
        <v>332</v>
      </c>
      <c r="HW133" s="174">
        <v>221</v>
      </c>
      <c r="HX133" s="174">
        <v>211</v>
      </c>
      <c r="HY133" s="174">
        <v>201</v>
      </c>
      <c r="HZ133" s="174">
        <v>191</v>
      </c>
      <c r="IA133" s="174">
        <v>322</v>
      </c>
      <c r="IB133" s="174">
        <v>302</v>
      </c>
      <c r="IC133" s="174">
        <v>191</v>
      </c>
      <c r="ID133" s="174">
        <v>161</v>
      </c>
      <c r="IE133" s="174">
        <v>141</v>
      </c>
      <c r="IF133" s="174">
        <v>133</v>
      </c>
    </row>
    <row r="134" spans="1:240" ht="13.35" customHeight="1" thickBot="1" x14ac:dyDescent="0.25">
      <c r="A134" s="183">
        <f t="shared" si="19"/>
        <v>133</v>
      </c>
      <c r="B134" s="184">
        <f t="shared" si="16"/>
        <v>76</v>
      </c>
      <c r="C134" s="183">
        <f t="shared" si="15"/>
        <v>1939</v>
      </c>
      <c r="F134" s="174" t="s">
        <v>1460</v>
      </c>
      <c r="G134" s="174" t="s">
        <v>1460</v>
      </c>
      <c r="H134" s="174" t="s">
        <v>1460</v>
      </c>
      <c r="I134" s="174" t="s">
        <v>1460</v>
      </c>
      <c r="J134" s="174" t="s">
        <v>1460</v>
      </c>
      <c r="K134" s="174" t="s">
        <v>1619</v>
      </c>
      <c r="L134" s="174" t="s">
        <v>1620</v>
      </c>
      <c r="M134" s="174" t="s">
        <v>1609</v>
      </c>
      <c r="N134" s="174" t="s">
        <v>1621</v>
      </c>
      <c r="O134" s="174" t="s">
        <v>231</v>
      </c>
      <c r="P134" s="174" t="s">
        <v>1622</v>
      </c>
      <c r="Q134" s="174" t="s">
        <v>1623</v>
      </c>
      <c r="R134" s="174" t="s">
        <v>1624</v>
      </c>
      <c r="S134" s="174" t="s">
        <v>1625</v>
      </c>
      <c r="T134" s="174" t="s">
        <v>1626</v>
      </c>
      <c r="U134" s="174" t="s">
        <v>1627</v>
      </c>
      <c r="V134" s="174" t="s">
        <v>1628</v>
      </c>
      <c r="W134" s="174" t="s">
        <v>1629</v>
      </c>
      <c r="X134" s="174" t="s">
        <v>1630</v>
      </c>
      <c r="Y134" s="174" t="s">
        <v>1631</v>
      </c>
      <c r="AA134" s="174" t="s">
        <v>1632</v>
      </c>
      <c r="AB134" s="174" t="s">
        <v>1633</v>
      </c>
      <c r="AD134" s="174" t="s">
        <v>1634</v>
      </c>
      <c r="AF134" s="174" t="s">
        <v>1635</v>
      </c>
      <c r="AG134" s="174" t="s">
        <v>1636</v>
      </c>
      <c r="AH134" s="174" t="s">
        <v>1637</v>
      </c>
      <c r="AJ134" s="174" t="s">
        <v>1638</v>
      </c>
      <c r="AK134" s="174" t="s">
        <v>1639</v>
      </c>
      <c r="AL134" s="174" t="s">
        <v>1640</v>
      </c>
      <c r="AM134" s="174" t="s">
        <v>1641</v>
      </c>
      <c r="AO134" s="174" t="s">
        <v>1642</v>
      </c>
      <c r="AP134" s="174" t="s">
        <v>1643</v>
      </c>
      <c r="AQ134" s="174" t="s">
        <v>1644</v>
      </c>
      <c r="AS134" s="174" t="s">
        <v>1645</v>
      </c>
      <c r="AT134" s="174" t="s">
        <v>1529</v>
      </c>
      <c r="AU134" s="174" t="s">
        <v>1645</v>
      </c>
      <c r="AV134" s="174" t="s">
        <v>1646</v>
      </c>
      <c r="AW134" s="174" t="s">
        <v>1646</v>
      </c>
      <c r="AX134" s="174" t="s">
        <v>1609</v>
      </c>
      <c r="AY134" s="174" t="s">
        <v>1526</v>
      </c>
      <c r="AZ134" s="174" t="s">
        <v>1526</v>
      </c>
      <c r="BA134" s="174" t="s">
        <v>1491</v>
      </c>
      <c r="BB134" s="174" t="s">
        <v>1609</v>
      </c>
      <c r="BC134" s="174" t="s">
        <v>1609</v>
      </c>
      <c r="BD134" s="174" t="s">
        <v>1609</v>
      </c>
      <c r="BE134" s="174" t="s">
        <v>1526</v>
      </c>
      <c r="BF134" s="174" t="s">
        <v>1526</v>
      </c>
      <c r="BG134" s="174" t="s">
        <v>1526</v>
      </c>
      <c r="BH134" s="174" t="s">
        <v>1526</v>
      </c>
      <c r="BI134" s="174" t="s">
        <v>1491</v>
      </c>
      <c r="BJ134" s="174" t="s">
        <v>1645</v>
      </c>
      <c r="BK134" s="174" t="s">
        <v>1529</v>
      </c>
      <c r="BL134" s="174" t="s">
        <v>1609</v>
      </c>
      <c r="BM134" s="174" t="s">
        <v>1645</v>
      </c>
      <c r="BN134" s="174" t="s">
        <v>1532</v>
      </c>
      <c r="BO134" s="174" t="s">
        <v>1609</v>
      </c>
      <c r="BP134" s="174" t="s">
        <v>1532</v>
      </c>
      <c r="BQ134" s="174" t="s">
        <v>1526</v>
      </c>
      <c r="BR134" s="174" t="s">
        <v>1609</v>
      </c>
      <c r="BS134" s="174" t="s">
        <v>1609</v>
      </c>
      <c r="BT134" s="174" t="s">
        <v>1526</v>
      </c>
      <c r="BU134" s="174" t="s">
        <v>1491</v>
      </c>
      <c r="BV134" s="174" t="s">
        <v>1528</v>
      </c>
      <c r="BW134" s="174" t="s">
        <v>1526</v>
      </c>
      <c r="BX134" s="174" t="s">
        <v>1491</v>
      </c>
      <c r="BY134" s="174" t="s">
        <v>1609</v>
      </c>
      <c r="BZ134" s="174" t="s">
        <v>1526</v>
      </c>
      <c r="CA134" s="174" t="s">
        <v>1491</v>
      </c>
      <c r="CB134" s="174" t="s">
        <v>1491</v>
      </c>
      <c r="CC134" s="174" t="s">
        <v>1526</v>
      </c>
      <c r="CD134" s="174" t="s">
        <v>1526</v>
      </c>
      <c r="CE134" s="174" t="s">
        <v>1491</v>
      </c>
      <c r="CF134" s="174" t="s">
        <v>1491</v>
      </c>
      <c r="CG134" s="174" t="s">
        <v>1526</v>
      </c>
      <c r="CH134" s="174" t="s">
        <v>1526</v>
      </c>
      <c r="CI134" s="174" t="s">
        <v>1532</v>
      </c>
      <c r="CJ134" s="174" t="s">
        <v>1526</v>
      </c>
      <c r="CK134" s="174" t="s">
        <v>1569</v>
      </c>
      <c r="CL134" s="174" t="s">
        <v>1609</v>
      </c>
      <c r="CM134" s="174" t="s">
        <v>1491</v>
      </c>
      <c r="CN134" s="174" t="s">
        <v>1526</v>
      </c>
      <c r="CO134" s="174" t="s">
        <v>1532</v>
      </c>
      <c r="CP134" s="174" t="s">
        <v>1569</v>
      </c>
      <c r="CQ134" s="174" t="s">
        <v>1532</v>
      </c>
      <c r="CS134" s="174" t="s">
        <v>1460</v>
      </c>
      <c r="CT134" s="174" t="s">
        <v>1460</v>
      </c>
      <c r="CU134" s="174" t="s">
        <v>1460</v>
      </c>
      <c r="CV134" s="174" t="s">
        <v>1460</v>
      </c>
      <c r="CX134" s="174" t="s">
        <v>1621</v>
      </c>
      <c r="CY134" s="174" t="s">
        <v>1647</v>
      </c>
      <c r="CZ134" s="174" t="s">
        <v>1648</v>
      </c>
      <c r="DA134" s="174" t="s">
        <v>1460</v>
      </c>
      <c r="DB134" s="174" t="s">
        <v>1649</v>
      </c>
      <c r="DC134" s="174" t="s">
        <v>1650</v>
      </c>
      <c r="DD134" s="174" t="s">
        <v>1651</v>
      </c>
      <c r="DF134" s="174">
        <v>6</v>
      </c>
      <c r="EE134" s="203">
        <v>2.0605999999999991</v>
      </c>
      <c r="EF134" s="174">
        <v>5</v>
      </c>
      <c r="ET134" s="174" t="s">
        <v>1438</v>
      </c>
      <c r="EV134" s="174" t="s">
        <v>1446</v>
      </c>
      <c r="EW134" s="174" t="s">
        <v>1446</v>
      </c>
      <c r="EX134" s="174" t="s">
        <v>1446</v>
      </c>
      <c r="FB134" s="174" t="s">
        <v>1438</v>
      </c>
      <c r="FC134" s="174" t="s">
        <v>1433</v>
      </c>
      <c r="FD134" s="174" t="s">
        <v>1433</v>
      </c>
      <c r="FE134" s="174" t="s">
        <v>1437</v>
      </c>
      <c r="FF134" s="174" t="s">
        <v>1436</v>
      </c>
      <c r="FH134" s="174" t="s">
        <v>1442</v>
      </c>
      <c r="FI134" s="174" t="s">
        <v>1437</v>
      </c>
      <c r="FQ134" s="174" t="s">
        <v>1447</v>
      </c>
      <c r="FR134" s="174" t="s">
        <v>1446</v>
      </c>
      <c r="FZ134" s="174" t="s">
        <v>1433</v>
      </c>
      <c r="GP134" s="174" t="s">
        <v>1617</v>
      </c>
      <c r="GQ134" s="174" t="s">
        <v>1618</v>
      </c>
      <c r="GR134" s="174" t="s">
        <v>1540</v>
      </c>
      <c r="HA134" s="174">
        <v>7</v>
      </c>
      <c r="HB134" s="197">
        <v>131</v>
      </c>
      <c r="HC134" s="194">
        <v>85</v>
      </c>
      <c r="HD134" s="238">
        <v>110.5</v>
      </c>
      <c r="HE134" s="236">
        <v>25</v>
      </c>
      <c r="HF134" s="183">
        <v>196</v>
      </c>
      <c r="HG134" s="193" t="e">
        <f t="shared" si="20"/>
        <v>#N/A</v>
      </c>
      <c r="HH134" s="192" t="e">
        <f t="shared" si="21"/>
        <v>#N/A</v>
      </c>
      <c r="HI134" s="198">
        <v>25</v>
      </c>
      <c r="HJ134" s="185">
        <v>155.5</v>
      </c>
      <c r="HK134" s="174">
        <v>132</v>
      </c>
      <c r="HL134" s="174">
        <v>526</v>
      </c>
      <c r="HM134" s="174">
        <v>588</v>
      </c>
      <c r="HN134" s="174">
        <v>466</v>
      </c>
      <c r="HO134" s="174">
        <v>252</v>
      </c>
      <c r="HP134" s="174">
        <v>242</v>
      </c>
      <c r="HQ134" s="174">
        <v>232</v>
      </c>
      <c r="HR134" s="174">
        <v>222</v>
      </c>
      <c r="HS134" s="174">
        <v>466</v>
      </c>
      <c r="HT134" s="174">
        <v>456</v>
      </c>
      <c r="HU134" s="174">
        <v>232</v>
      </c>
      <c r="HV134" s="174">
        <v>334</v>
      </c>
      <c r="HW134" s="174">
        <v>222</v>
      </c>
      <c r="HX134" s="174">
        <v>212</v>
      </c>
      <c r="HY134" s="174">
        <v>202</v>
      </c>
      <c r="HZ134" s="174">
        <v>192</v>
      </c>
      <c r="IA134" s="174">
        <v>324</v>
      </c>
      <c r="IB134" s="174">
        <v>304</v>
      </c>
      <c r="IC134" s="174">
        <v>192</v>
      </c>
      <c r="ID134" s="174">
        <v>162</v>
      </c>
      <c r="IE134" s="174">
        <v>142</v>
      </c>
      <c r="IF134" s="174">
        <v>134</v>
      </c>
    </row>
    <row r="135" spans="1:240" ht="13.35" customHeight="1" thickBot="1" x14ac:dyDescent="0.25">
      <c r="A135" s="183">
        <f t="shared" si="19"/>
        <v>134</v>
      </c>
      <c r="B135" s="184">
        <f t="shared" si="16"/>
        <v>78</v>
      </c>
      <c r="C135" s="183">
        <f t="shared" si="15"/>
        <v>2026</v>
      </c>
      <c r="F135" s="174" t="s">
        <v>1460</v>
      </c>
      <c r="G135" s="174" t="s">
        <v>1460</v>
      </c>
      <c r="H135" s="174" t="s">
        <v>1460</v>
      </c>
      <c r="I135" s="174" t="s">
        <v>1460</v>
      </c>
      <c r="J135" s="174" t="s">
        <v>1460</v>
      </c>
      <c r="K135" s="174" t="s">
        <v>1652</v>
      </c>
      <c r="L135" s="174" t="s">
        <v>1653</v>
      </c>
      <c r="M135" s="174" t="s">
        <v>1645</v>
      </c>
      <c r="N135" s="174" t="s">
        <v>1654</v>
      </c>
      <c r="O135" s="174" t="s">
        <v>1655</v>
      </c>
      <c r="P135" s="174" t="s">
        <v>1656</v>
      </c>
      <c r="Q135" s="174" t="s">
        <v>1657</v>
      </c>
      <c r="R135" s="174" t="s">
        <v>1658</v>
      </c>
      <c r="S135" s="174" t="s">
        <v>1659</v>
      </c>
      <c r="T135" s="174" t="s">
        <v>1660</v>
      </c>
      <c r="U135" s="174" t="s">
        <v>1661</v>
      </c>
      <c r="V135" s="174" t="s">
        <v>1662</v>
      </c>
      <c r="W135" s="174" t="s">
        <v>1663</v>
      </c>
      <c r="X135" s="174" t="s">
        <v>1664</v>
      </c>
      <c r="Y135" s="174" t="s">
        <v>1665</v>
      </c>
      <c r="AA135" s="174" t="s">
        <v>1666</v>
      </c>
      <c r="AB135" s="174" t="s">
        <v>1667</v>
      </c>
      <c r="AD135" s="174" t="s">
        <v>1668</v>
      </c>
      <c r="AF135" s="174" t="s">
        <v>1669</v>
      </c>
      <c r="AG135" s="174" t="s">
        <v>1670</v>
      </c>
      <c r="AH135" s="174" t="s">
        <v>1671</v>
      </c>
      <c r="AJ135" s="174" t="s">
        <v>1672</v>
      </c>
      <c r="AK135" s="174" t="s">
        <v>1673</v>
      </c>
      <c r="AL135" s="174" t="s">
        <v>1674</v>
      </c>
      <c r="AM135" s="174" t="s">
        <v>1675</v>
      </c>
      <c r="AO135" s="174" t="s">
        <v>1676</v>
      </c>
      <c r="AP135" s="174" t="s">
        <v>1677</v>
      </c>
      <c r="AQ135" s="174" t="s">
        <v>1678</v>
      </c>
      <c r="AS135" s="174" t="s">
        <v>1679</v>
      </c>
      <c r="AT135" s="174" t="s">
        <v>1656</v>
      </c>
      <c r="AU135" s="174" t="s">
        <v>1680</v>
      </c>
      <c r="AV135" s="174" t="s">
        <v>1645</v>
      </c>
      <c r="AW135" s="174" t="s">
        <v>1645</v>
      </c>
      <c r="AX135" s="174" t="s">
        <v>1645</v>
      </c>
      <c r="AY135" s="174" t="s">
        <v>1646</v>
      </c>
      <c r="AZ135" s="174" t="s">
        <v>1645</v>
      </c>
      <c r="BA135" s="174" t="s">
        <v>1645</v>
      </c>
      <c r="BB135" s="174" t="s">
        <v>1645</v>
      </c>
      <c r="BC135" s="174" t="s">
        <v>1645</v>
      </c>
      <c r="BD135" s="174" t="s">
        <v>1646</v>
      </c>
      <c r="BE135" s="174" t="s">
        <v>1645</v>
      </c>
      <c r="BF135" s="174" t="s">
        <v>1645</v>
      </c>
      <c r="BG135" s="174" t="s">
        <v>1645</v>
      </c>
      <c r="BH135" s="174" t="s">
        <v>1645</v>
      </c>
      <c r="BI135" s="174" t="s">
        <v>1526</v>
      </c>
      <c r="BJ135" s="174" t="s">
        <v>1677</v>
      </c>
      <c r="BK135" s="174" t="s">
        <v>1526</v>
      </c>
      <c r="BL135" s="174" t="s">
        <v>1645</v>
      </c>
      <c r="BM135" s="174" t="s">
        <v>1681</v>
      </c>
      <c r="BN135" s="174" t="s">
        <v>1529</v>
      </c>
      <c r="BO135" s="174" t="s">
        <v>1645</v>
      </c>
      <c r="BP135" s="174" t="s">
        <v>1581</v>
      </c>
      <c r="BQ135" s="174" t="s">
        <v>1645</v>
      </c>
      <c r="BR135" s="174" t="s">
        <v>1645</v>
      </c>
      <c r="BS135" s="174" t="s">
        <v>1645</v>
      </c>
      <c r="BT135" s="174" t="s">
        <v>1609</v>
      </c>
      <c r="BU135" s="174" t="s">
        <v>1526</v>
      </c>
      <c r="BV135" s="174" t="s">
        <v>1571</v>
      </c>
      <c r="BW135" s="174" t="s">
        <v>1645</v>
      </c>
      <c r="BX135" s="174" t="s">
        <v>1645</v>
      </c>
      <c r="BY135" s="174" t="s">
        <v>1645</v>
      </c>
      <c r="BZ135" s="174" t="s">
        <v>1609</v>
      </c>
      <c r="CA135" s="174" t="s">
        <v>1526</v>
      </c>
      <c r="CB135" s="174" t="s">
        <v>1526</v>
      </c>
      <c r="CC135" s="174" t="s">
        <v>1645</v>
      </c>
      <c r="CD135" s="174" t="s">
        <v>1645</v>
      </c>
      <c r="CE135" s="174" t="s">
        <v>1609</v>
      </c>
      <c r="CF135" s="174" t="s">
        <v>1526</v>
      </c>
      <c r="CG135" s="174" t="s">
        <v>1645</v>
      </c>
      <c r="CH135" s="174" t="s">
        <v>1646</v>
      </c>
      <c r="CI135" s="174" t="s">
        <v>1609</v>
      </c>
      <c r="CJ135" s="174" t="s">
        <v>1609</v>
      </c>
      <c r="CK135" s="174" t="s">
        <v>1526</v>
      </c>
      <c r="CL135" s="174" t="s">
        <v>1646</v>
      </c>
      <c r="CM135" s="174" t="s">
        <v>1526</v>
      </c>
      <c r="CN135" s="174" t="s">
        <v>1645</v>
      </c>
      <c r="CO135" s="174" t="s">
        <v>1526</v>
      </c>
      <c r="CP135" s="174" t="s">
        <v>1526</v>
      </c>
      <c r="CQ135" s="174" t="s">
        <v>1491</v>
      </c>
      <c r="CS135" s="174" t="s">
        <v>1460</v>
      </c>
      <c r="CT135" s="174" t="s">
        <v>1460</v>
      </c>
      <c r="CU135" s="174" t="s">
        <v>1460</v>
      </c>
      <c r="CV135" s="174" t="s">
        <v>1460</v>
      </c>
      <c r="CX135" s="174" t="s">
        <v>1654</v>
      </c>
      <c r="CY135" s="174" t="s">
        <v>1682</v>
      </c>
      <c r="CZ135" s="174" t="s">
        <v>1490</v>
      </c>
      <c r="DA135" s="174" t="s">
        <v>1460</v>
      </c>
      <c r="DB135" s="174" t="s">
        <v>1683</v>
      </c>
      <c r="DC135" s="174" t="s">
        <v>1684</v>
      </c>
      <c r="DD135" s="174" t="s">
        <v>1683</v>
      </c>
      <c r="DF135" s="174">
        <v>7</v>
      </c>
      <c r="EE135" s="203">
        <v>2.085999999999999</v>
      </c>
      <c r="EF135" s="174">
        <v>10</v>
      </c>
      <c r="ET135" s="174" t="s">
        <v>1436</v>
      </c>
      <c r="FD135" s="174" t="s">
        <v>1436</v>
      </c>
      <c r="FE135" s="174" t="s">
        <v>1436</v>
      </c>
      <c r="FH135" s="174" t="s">
        <v>1444</v>
      </c>
      <c r="GR135" s="174" t="s">
        <v>1618</v>
      </c>
      <c r="HA135" s="174">
        <v>8</v>
      </c>
      <c r="HB135" s="197">
        <v>132</v>
      </c>
      <c r="HC135" s="194">
        <v>85</v>
      </c>
      <c r="HD135" s="238">
        <v>111</v>
      </c>
      <c r="HE135" s="236">
        <v>25</v>
      </c>
      <c r="HF135" s="183">
        <v>197</v>
      </c>
      <c r="HG135" s="193" t="e">
        <f t="shared" si="20"/>
        <v>#N/A</v>
      </c>
      <c r="HH135" s="192" t="e">
        <f t="shared" si="21"/>
        <v>#N/A</v>
      </c>
      <c r="HI135" s="198">
        <v>25</v>
      </c>
      <c r="HJ135" s="185">
        <v>156</v>
      </c>
      <c r="HK135" s="174">
        <v>133</v>
      </c>
      <c r="HL135" s="174">
        <v>529</v>
      </c>
      <c r="HM135" s="174">
        <v>592</v>
      </c>
      <c r="HN135" s="174">
        <v>469</v>
      </c>
      <c r="HO135" s="174">
        <v>253</v>
      </c>
      <c r="HP135" s="174">
        <v>243</v>
      </c>
      <c r="HQ135" s="174">
        <v>233</v>
      </c>
      <c r="HR135" s="174">
        <v>223</v>
      </c>
      <c r="HS135" s="174">
        <v>469</v>
      </c>
      <c r="HT135" s="174">
        <v>459</v>
      </c>
      <c r="HU135" s="174">
        <v>233</v>
      </c>
      <c r="HV135" s="174">
        <v>336</v>
      </c>
      <c r="HW135" s="174">
        <v>223</v>
      </c>
      <c r="HX135" s="174">
        <v>213</v>
      </c>
      <c r="HY135" s="174">
        <v>203</v>
      </c>
      <c r="HZ135" s="174">
        <v>193</v>
      </c>
      <c r="IA135" s="174">
        <v>326</v>
      </c>
      <c r="IB135" s="174">
        <v>306</v>
      </c>
      <c r="IC135" s="174">
        <v>193</v>
      </c>
      <c r="ID135" s="174">
        <v>163</v>
      </c>
      <c r="IE135" s="174">
        <v>143</v>
      </c>
      <c r="IF135" s="174">
        <v>135</v>
      </c>
    </row>
    <row r="136" spans="1:240" ht="13.35" customHeight="1" thickBot="1" x14ac:dyDescent="0.25">
      <c r="A136" s="183">
        <f t="shared" si="19"/>
        <v>135</v>
      </c>
      <c r="B136" s="184">
        <f t="shared" si="16"/>
        <v>80</v>
      </c>
      <c r="C136" s="183">
        <f t="shared" si="15"/>
        <v>2115</v>
      </c>
      <c r="AU136" s="174" t="s">
        <v>1685</v>
      </c>
      <c r="DB136" s="174" t="s">
        <v>1686</v>
      </c>
      <c r="DC136" s="174" t="s">
        <v>1687</v>
      </c>
      <c r="DD136" s="174" t="s">
        <v>1688</v>
      </c>
      <c r="DF136" s="174">
        <v>8</v>
      </c>
      <c r="EE136" s="203">
        <v>2.1113999999999988</v>
      </c>
      <c r="EF136" s="174">
        <v>10</v>
      </c>
      <c r="ET136" s="174" t="s">
        <v>1436</v>
      </c>
      <c r="FD136" s="174" t="s">
        <v>1436</v>
      </c>
      <c r="FE136" s="174" t="s">
        <v>1436</v>
      </c>
      <c r="FH136" s="174" t="s">
        <v>1444</v>
      </c>
      <c r="GR136" s="174" t="s">
        <v>1618</v>
      </c>
      <c r="HA136" s="174">
        <v>9</v>
      </c>
      <c r="HB136" s="197">
        <v>133</v>
      </c>
      <c r="HC136" s="194">
        <v>86</v>
      </c>
      <c r="HD136" s="238">
        <v>111.5</v>
      </c>
      <c r="HE136" s="236">
        <v>25</v>
      </c>
      <c r="HF136" s="183">
        <v>198</v>
      </c>
      <c r="HG136" s="193" t="e">
        <f t="shared" si="20"/>
        <v>#N/A</v>
      </c>
      <c r="HH136" s="192" t="e">
        <f t="shared" si="21"/>
        <v>#N/A</v>
      </c>
      <c r="HI136" s="198">
        <v>25</v>
      </c>
      <c r="HJ136" s="185">
        <v>156.5</v>
      </c>
      <c r="HK136" s="174">
        <v>134</v>
      </c>
      <c r="HL136" s="174">
        <v>532</v>
      </c>
      <c r="HM136" s="174">
        <v>596</v>
      </c>
      <c r="HN136" s="174">
        <v>472</v>
      </c>
      <c r="HO136" s="174">
        <v>254</v>
      </c>
      <c r="HP136" s="174">
        <v>244</v>
      </c>
      <c r="HQ136" s="174">
        <v>234</v>
      </c>
      <c r="HR136" s="174">
        <v>224</v>
      </c>
      <c r="HS136" s="174">
        <v>472</v>
      </c>
      <c r="HT136" s="174">
        <v>462</v>
      </c>
      <c r="HU136" s="174">
        <v>234</v>
      </c>
      <c r="HV136" s="174">
        <v>338</v>
      </c>
      <c r="HW136" s="174">
        <v>224</v>
      </c>
      <c r="HX136" s="174">
        <v>214</v>
      </c>
      <c r="HY136" s="174">
        <v>204</v>
      </c>
      <c r="HZ136" s="174">
        <v>194</v>
      </c>
      <c r="IA136" s="174">
        <v>328</v>
      </c>
      <c r="IB136" s="174">
        <v>308</v>
      </c>
      <c r="IC136" s="174">
        <v>194</v>
      </c>
      <c r="ID136" s="174">
        <v>164</v>
      </c>
      <c r="IE136" s="174">
        <v>144</v>
      </c>
      <c r="IF136" s="174">
        <v>136</v>
      </c>
    </row>
    <row r="137" spans="1:240" ht="13.35" customHeight="1" thickBot="1" x14ac:dyDescent="0.25">
      <c r="A137" s="183">
        <f t="shared" si="19"/>
        <v>136</v>
      </c>
      <c r="B137" s="184">
        <f t="shared" si="16"/>
        <v>82</v>
      </c>
      <c r="C137" s="183">
        <f t="shared" si="15"/>
        <v>2206</v>
      </c>
      <c r="F137" s="190"/>
      <c r="G137" s="190"/>
      <c r="H137" s="190"/>
      <c r="I137" s="190"/>
      <c r="J137" s="190"/>
      <c r="K137" s="190"/>
      <c r="L137" s="190"/>
      <c r="M137" s="190"/>
      <c r="N137" s="190"/>
      <c r="O137" s="190"/>
      <c r="P137" s="190"/>
      <c r="Q137" s="190"/>
      <c r="R137" s="190"/>
      <c r="S137" s="190"/>
      <c r="T137" s="190"/>
      <c r="U137" s="190"/>
      <c r="V137" s="190"/>
      <c r="W137" s="190"/>
      <c r="X137" s="190"/>
      <c r="Y137" s="190"/>
      <c r="Z137" s="190"/>
      <c r="AU137" s="174" t="s">
        <v>1689</v>
      </c>
      <c r="DB137" s="174" t="s">
        <v>1690</v>
      </c>
      <c r="DC137" s="174" t="s">
        <v>1683</v>
      </c>
      <c r="DD137" s="174" t="s">
        <v>1690</v>
      </c>
      <c r="DF137" s="174">
        <v>9</v>
      </c>
      <c r="EE137" s="203">
        <v>2.1367999999999991</v>
      </c>
      <c r="EF137" s="174">
        <v>10</v>
      </c>
      <c r="HA137" s="174">
        <v>10</v>
      </c>
      <c r="HB137" s="197">
        <v>134</v>
      </c>
      <c r="HC137" s="194">
        <v>86</v>
      </c>
      <c r="HD137" s="238">
        <v>112</v>
      </c>
      <c r="HE137" s="236">
        <v>25</v>
      </c>
      <c r="HF137" s="183">
        <v>199</v>
      </c>
      <c r="HG137" s="193" t="e">
        <f t="shared" si="20"/>
        <v>#N/A</v>
      </c>
      <c r="HH137" s="192" t="e">
        <f t="shared" si="21"/>
        <v>#N/A</v>
      </c>
      <c r="HI137" s="198">
        <v>25</v>
      </c>
      <c r="HJ137" s="185">
        <v>157</v>
      </c>
      <c r="HK137" s="174">
        <v>135</v>
      </c>
      <c r="HL137" s="174">
        <v>535</v>
      </c>
      <c r="HM137" s="174">
        <v>600</v>
      </c>
      <c r="HN137" s="174">
        <v>475</v>
      </c>
      <c r="HO137" s="174">
        <v>255</v>
      </c>
      <c r="HP137" s="174">
        <v>245</v>
      </c>
      <c r="HQ137" s="174">
        <v>235</v>
      </c>
      <c r="HR137" s="174">
        <v>225</v>
      </c>
      <c r="HS137" s="174">
        <v>475</v>
      </c>
      <c r="HT137" s="174">
        <v>465</v>
      </c>
      <c r="HU137" s="174">
        <v>235</v>
      </c>
      <c r="HV137" s="174">
        <v>340</v>
      </c>
      <c r="HW137" s="174">
        <v>225</v>
      </c>
      <c r="HX137" s="174">
        <v>215</v>
      </c>
      <c r="HY137" s="174">
        <v>205</v>
      </c>
      <c r="HZ137" s="174">
        <v>195</v>
      </c>
      <c r="IA137" s="174">
        <v>330</v>
      </c>
      <c r="IB137" s="174">
        <v>310</v>
      </c>
      <c r="IC137" s="174">
        <v>195</v>
      </c>
      <c r="ID137" s="174">
        <v>165</v>
      </c>
      <c r="IE137" s="174">
        <v>145</v>
      </c>
      <c r="IF137" s="174">
        <v>137</v>
      </c>
    </row>
    <row r="138" spans="1:240" ht="13.35" customHeight="1" thickBot="1" x14ac:dyDescent="0.25">
      <c r="A138" s="183">
        <f t="shared" si="19"/>
        <v>137</v>
      </c>
      <c r="B138" s="184">
        <f t="shared" si="16"/>
        <v>84</v>
      </c>
      <c r="C138" s="183">
        <f t="shared" si="15"/>
        <v>2299</v>
      </c>
      <c r="AU138" s="174" t="s">
        <v>1570</v>
      </c>
      <c r="DB138" s="174" t="s">
        <v>1691</v>
      </c>
      <c r="DC138" s="174" t="s">
        <v>1690</v>
      </c>
      <c r="DD138" s="174" t="s">
        <v>1691</v>
      </c>
      <c r="DF138" s="174">
        <v>10</v>
      </c>
      <c r="EE138" s="203">
        <v>2.162199999999999</v>
      </c>
      <c r="EF138" s="174">
        <v>10</v>
      </c>
      <c r="HA138" s="174">
        <v>11</v>
      </c>
      <c r="HB138" s="197">
        <v>135</v>
      </c>
      <c r="HC138" s="194">
        <v>87</v>
      </c>
      <c r="HD138" s="238">
        <v>112.5</v>
      </c>
      <c r="HE138" s="236">
        <v>25</v>
      </c>
      <c r="HF138" s="183">
        <v>200</v>
      </c>
      <c r="HG138" s="193" t="e">
        <f t="shared" si="20"/>
        <v>#N/A</v>
      </c>
      <c r="HH138" s="192" t="e">
        <f t="shared" si="21"/>
        <v>#N/A</v>
      </c>
      <c r="HI138" s="198">
        <v>25</v>
      </c>
      <c r="HJ138" s="185">
        <v>157.5</v>
      </c>
      <c r="HK138" s="174">
        <v>136</v>
      </c>
      <c r="HL138" s="174">
        <v>538</v>
      </c>
      <c r="HM138" s="174">
        <v>604</v>
      </c>
      <c r="HN138" s="174">
        <v>478</v>
      </c>
      <c r="HO138" s="174">
        <v>256</v>
      </c>
      <c r="HP138" s="174">
        <v>246</v>
      </c>
      <c r="HQ138" s="174">
        <v>236</v>
      </c>
      <c r="HR138" s="174">
        <v>226</v>
      </c>
      <c r="HS138" s="174">
        <v>478</v>
      </c>
      <c r="HT138" s="174">
        <v>468</v>
      </c>
      <c r="HU138" s="174">
        <v>236</v>
      </c>
      <c r="HV138" s="174">
        <v>342</v>
      </c>
      <c r="HW138" s="174">
        <v>226</v>
      </c>
      <c r="HX138" s="174">
        <v>216</v>
      </c>
      <c r="HY138" s="174">
        <v>206</v>
      </c>
      <c r="HZ138" s="174">
        <v>196</v>
      </c>
      <c r="IA138" s="174">
        <v>332</v>
      </c>
      <c r="IB138" s="174">
        <v>312</v>
      </c>
      <c r="IC138" s="174">
        <v>196</v>
      </c>
      <c r="ID138" s="174">
        <v>166</v>
      </c>
      <c r="IE138" s="174">
        <v>146</v>
      </c>
      <c r="IF138" s="174">
        <v>138</v>
      </c>
    </row>
    <row r="139" spans="1:240" ht="13.35" customHeight="1" thickBot="1" x14ac:dyDescent="0.25">
      <c r="A139" s="183">
        <f t="shared" si="19"/>
        <v>138</v>
      </c>
      <c r="B139" s="184">
        <f t="shared" si="16"/>
        <v>86</v>
      </c>
      <c r="C139" s="183">
        <f t="shared" si="15"/>
        <v>2394</v>
      </c>
      <c r="E139" s="207"/>
      <c r="AU139" s="174" t="s">
        <v>1494</v>
      </c>
      <c r="DB139" s="174" t="s">
        <v>1692</v>
      </c>
      <c r="DC139" s="174" t="s">
        <v>1691</v>
      </c>
      <c r="DD139" s="174" t="s">
        <v>1693</v>
      </c>
      <c r="DF139" s="174">
        <v>11</v>
      </c>
      <c r="EE139" s="203">
        <v>2.1875999999999989</v>
      </c>
      <c r="EF139" s="174">
        <v>10</v>
      </c>
      <c r="HA139" s="174">
        <v>12</v>
      </c>
      <c r="HB139" s="197">
        <v>136</v>
      </c>
      <c r="HC139" s="194">
        <v>87</v>
      </c>
      <c r="HD139" s="238">
        <v>113</v>
      </c>
      <c r="HE139" s="236">
        <v>25</v>
      </c>
      <c r="HF139" s="183">
        <v>201</v>
      </c>
      <c r="HG139" s="193" t="e">
        <f t="shared" si="20"/>
        <v>#N/A</v>
      </c>
      <c r="HH139" s="192" t="e">
        <f t="shared" si="21"/>
        <v>#N/A</v>
      </c>
      <c r="HI139" s="198">
        <v>25</v>
      </c>
      <c r="HJ139" s="185">
        <v>158</v>
      </c>
      <c r="HK139" s="174">
        <v>137</v>
      </c>
      <c r="HL139" s="174">
        <v>541</v>
      </c>
      <c r="HM139" s="174">
        <v>608</v>
      </c>
      <c r="HN139" s="174">
        <v>481</v>
      </c>
      <c r="HO139" s="174">
        <v>257</v>
      </c>
      <c r="HP139" s="174">
        <v>247</v>
      </c>
      <c r="HQ139" s="174">
        <v>237</v>
      </c>
      <c r="HR139" s="174">
        <v>227</v>
      </c>
      <c r="HS139" s="174">
        <v>481</v>
      </c>
      <c r="HT139" s="174">
        <v>471</v>
      </c>
      <c r="HU139" s="174">
        <v>237</v>
      </c>
      <c r="HV139" s="174">
        <v>344</v>
      </c>
      <c r="HW139" s="174">
        <v>227</v>
      </c>
      <c r="HX139" s="174">
        <v>217</v>
      </c>
      <c r="HY139" s="174">
        <v>207</v>
      </c>
      <c r="HZ139" s="174">
        <v>197</v>
      </c>
      <c r="IA139" s="174">
        <v>334</v>
      </c>
      <c r="IB139" s="174">
        <v>314</v>
      </c>
      <c r="IC139" s="174">
        <v>197</v>
      </c>
      <c r="ID139" s="174">
        <v>167</v>
      </c>
      <c r="IE139" s="174">
        <v>147</v>
      </c>
      <c r="IF139" s="174">
        <v>139</v>
      </c>
    </row>
    <row r="140" spans="1:240" ht="13.35" customHeight="1" thickBot="1" x14ac:dyDescent="0.25">
      <c r="A140" s="183">
        <f t="shared" si="19"/>
        <v>139</v>
      </c>
      <c r="B140" s="184">
        <f t="shared" si="16"/>
        <v>88</v>
      </c>
      <c r="C140" s="183">
        <f t="shared" si="15"/>
        <v>2491</v>
      </c>
      <c r="E140" s="207"/>
      <c r="AU140" s="174" t="s">
        <v>1694</v>
      </c>
      <c r="EE140" s="203">
        <v>2.2129999999999987</v>
      </c>
      <c r="EF140" s="174">
        <v>10</v>
      </c>
      <c r="HA140" s="174">
        <v>13</v>
      </c>
      <c r="HB140" s="197">
        <v>137</v>
      </c>
      <c r="HC140" s="194">
        <v>88</v>
      </c>
      <c r="HD140" s="238">
        <v>113.5</v>
      </c>
      <c r="HE140" s="236">
        <v>25</v>
      </c>
      <c r="HF140" s="183">
        <v>202</v>
      </c>
      <c r="HG140" s="193" t="e">
        <f t="shared" si="20"/>
        <v>#N/A</v>
      </c>
      <c r="HH140" s="192" t="e">
        <f t="shared" si="21"/>
        <v>#N/A</v>
      </c>
      <c r="HI140" s="198">
        <v>25</v>
      </c>
      <c r="HJ140" s="185">
        <v>158.5</v>
      </c>
      <c r="HK140" s="174">
        <v>138</v>
      </c>
      <c r="HL140" s="174">
        <v>544</v>
      </c>
      <c r="HM140" s="174">
        <v>612</v>
      </c>
      <c r="HN140" s="174">
        <v>484</v>
      </c>
      <c r="HO140" s="174">
        <v>258</v>
      </c>
      <c r="HP140" s="174">
        <v>248</v>
      </c>
      <c r="HQ140" s="174">
        <v>238</v>
      </c>
      <c r="HR140" s="174">
        <v>228</v>
      </c>
      <c r="HS140" s="174">
        <v>484</v>
      </c>
      <c r="HT140" s="174">
        <v>474</v>
      </c>
      <c r="HU140" s="174">
        <v>238</v>
      </c>
      <c r="HV140" s="174">
        <v>346</v>
      </c>
      <c r="HW140" s="174">
        <v>228</v>
      </c>
      <c r="HX140" s="174">
        <v>218</v>
      </c>
      <c r="HY140" s="174">
        <v>208</v>
      </c>
      <c r="HZ140" s="174">
        <v>198</v>
      </c>
      <c r="IA140" s="174">
        <v>336</v>
      </c>
      <c r="IB140" s="174">
        <v>316</v>
      </c>
      <c r="IC140" s="174">
        <v>198</v>
      </c>
      <c r="ID140" s="174">
        <v>168</v>
      </c>
      <c r="IE140" s="174">
        <v>148</v>
      </c>
      <c r="IF140" s="174">
        <v>140</v>
      </c>
    </row>
    <row r="141" spans="1:240" ht="13.35" customHeight="1" thickBot="1" x14ac:dyDescent="0.25">
      <c r="A141" s="183">
        <f t="shared" si="19"/>
        <v>140</v>
      </c>
      <c r="B141" s="184">
        <f t="shared" si="16"/>
        <v>90</v>
      </c>
      <c r="C141" s="183">
        <f t="shared" si="15"/>
        <v>2590</v>
      </c>
      <c r="E141" s="207"/>
      <c r="EE141" s="203">
        <v>2.2383999999999986</v>
      </c>
      <c r="EF141" s="174">
        <v>15</v>
      </c>
      <c r="EO141" s="174">
        <v>8</v>
      </c>
      <c r="EP141" s="174">
        <v>8</v>
      </c>
      <c r="EQ141" s="174">
        <v>8</v>
      </c>
      <c r="ER141" s="174">
        <v>8</v>
      </c>
      <c r="ES141" s="174">
        <v>8</v>
      </c>
      <c r="ET141" s="174">
        <v>7</v>
      </c>
      <c r="EU141" s="174">
        <v>8</v>
      </c>
      <c r="EV141" s="174">
        <v>8</v>
      </c>
      <c r="EW141" s="174">
        <v>8</v>
      </c>
      <c r="EX141" s="174">
        <v>8</v>
      </c>
      <c r="EY141" s="174">
        <v>8</v>
      </c>
      <c r="EZ141" s="174">
        <v>8</v>
      </c>
      <c r="FA141" s="174">
        <v>8</v>
      </c>
      <c r="FB141" s="174">
        <v>8</v>
      </c>
      <c r="FC141" s="174">
        <v>8</v>
      </c>
      <c r="FD141" s="174">
        <v>8</v>
      </c>
      <c r="FE141" s="174">
        <v>8</v>
      </c>
      <c r="FF141" s="174">
        <v>8</v>
      </c>
      <c r="FG141" s="174">
        <v>8</v>
      </c>
      <c r="FH141" s="174">
        <v>8</v>
      </c>
      <c r="FI141" s="174">
        <v>8</v>
      </c>
      <c r="FJ141" s="174">
        <v>8</v>
      </c>
      <c r="FK141" s="174">
        <v>8</v>
      </c>
      <c r="FL141" s="174">
        <v>8</v>
      </c>
      <c r="FM141" s="174">
        <v>8</v>
      </c>
      <c r="FN141" s="174">
        <v>8</v>
      </c>
      <c r="FO141" s="174">
        <v>8</v>
      </c>
      <c r="FP141" s="174">
        <v>8</v>
      </c>
      <c r="FQ141" s="174">
        <v>8</v>
      </c>
      <c r="FR141" s="174">
        <v>8</v>
      </c>
      <c r="FS141" s="174">
        <v>8</v>
      </c>
      <c r="FT141" s="174">
        <v>8</v>
      </c>
      <c r="FU141" s="174">
        <v>8</v>
      </c>
      <c r="FV141" s="174">
        <v>8</v>
      </c>
      <c r="FW141" s="174">
        <v>8</v>
      </c>
      <c r="FX141" s="174">
        <v>8</v>
      </c>
      <c r="FY141" s="174">
        <v>8</v>
      </c>
      <c r="FZ141" s="174">
        <v>8</v>
      </c>
      <c r="GA141" s="174">
        <v>8</v>
      </c>
      <c r="GB141" s="174">
        <v>8</v>
      </c>
      <c r="GC141" s="174">
        <v>8</v>
      </c>
      <c r="GD141" s="174">
        <v>8</v>
      </c>
      <c r="GE141" s="174">
        <v>8</v>
      </c>
      <c r="GF141" s="174">
        <v>8</v>
      </c>
      <c r="GG141" s="174">
        <v>8</v>
      </c>
      <c r="GH141" s="174">
        <v>8</v>
      </c>
      <c r="GK141" s="174">
        <v>8</v>
      </c>
      <c r="GL141" s="174">
        <v>8</v>
      </c>
      <c r="GM141" s="174">
        <v>8</v>
      </c>
      <c r="GN141" s="174">
        <v>8</v>
      </c>
      <c r="GP141" s="174">
        <v>8</v>
      </c>
      <c r="GQ141" s="174">
        <v>8</v>
      </c>
      <c r="GR141" s="174">
        <v>8</v>
      </c>
      <c r="HA141" s="174">
        <v>14</v>
      </c>
      <c r="HB141" s="197">
        <v>138</v>
      </c>
      <c r="HC141" s="194">
        <v>88</v>
      </c>
      <c r="HD141" s="238">
        <v>114</v>
      </c>
      <c r="HE141" s="236">
        <v>25</v>
      </c>
      <c r="HF141" s="183">
        <v>203</v>
      </c>
      <c r="HG141" s="193" t="e">
        <f t="shared" si="20"/>
        <v>#N/A</v>
      </c>
      <c r="HH141" s="192" t="e">
        <f t="shared" si="21"/>
        <v>#N/A</v>
      </c>
      <c r="HI141" s="198">
        <v>25</v>
      </c>
      <c r="HJ141" s="185">
        <v>159</v>
      </c>
      <c r="HK141" s="174">
        <v>139</v>
      </c>
      <c r="HL141" s="174">
        <v>547</v>
      </c>
      <c r="HM141" s="174">
        <v>616</v>
      </c>
      <c r="HN141" s="174">
        <v>487</v>
      </c>
      <c r="HO141" s="174">
        <v>259</v>
      </c>
      <c r="HP141" s="174">
        <v>249</v>
      </c>
      <c r="HQ141" s="174">
        <v>239</v>
      </c>
      <c r="HR141" s="174">
        <v>229</v>
      </c>
      <c r="HS141" s="174">
        <v>487</v>
      </c>
      <c r="HT141" s="174">
        <v>477</v>
      </c>
      <c r="HU141" s="174">
        <v>239</v>
      </c>
      <c r="HV141" s="174">
        <v>348</v>
      </c>
      <c r="HW141" s="174">
        <v>229</v>
      </c>
      <c r="HX141" s="174">
        <v>219</v>
      </c>
      <c r="HY141" s="174">
        <v>209</v>
      </c>
      <c r="HZ141" s="174">
        <v>199</v>
      </c>
      <c r="IA141" s="174">
        <v>338</v>
      </c>
      <c r="IB141" s="174">
        <v>318</v>
      </c>
      <c r="IC141" s="174">
        <v>199</v>
      </c>
      <c r="ID141" s="174">
        <v>169</v>
      </c>
      <c r="IE141" s="174">
        <v>149</v>
      </c>
      <c r="IF141" s="174">
        <v>141</v>
      </c>
    </row>
    <row r="142" spans="1:240" ht="13.35" customHeight="1" thickBot="1" x14ac:dyDescent="0.25">
      <c r="A142" s="183">
        <f t="shared" si="19"/>
        <v>141</v>
      </c>
      <c r="B142" s="184">
        <f t="shared" si="16"/>
        <v>92</v>
      </c>
      <c r="C142" s="183">
        <f t="shared" si="15"/>
        <v>2691</v>
      </c>
      <c r="E142" s="207"/>
      <c r="EE142" s="203">
        <v>2.2637999999999985</v>
      </c>
      <c r="EF142" s="174">
        <v>15</v>
      </c>
      <c r="EQ142" s="174">
        <v>8</v>
      </c>
      <c r="ER142" s="174">
        <v>8</v>
      </c>
      <c r="ES142" s="174">
        <v>8</v>
      </c>
      <c r="ET142" s="174">
        <v>7</v>
      </c>
      <c r="EU142" s="174">
        <v>8</v>
      </c>
      <c r="EV142" s="174">
        <v>8</v>
      </c>
      <c r="EW142" s="174">
        <v>8</v>
      </c>
      <c r="EX142" s="174">
        <v>8</v>
      </c>
      <c r="EY142" s="174">
        <v>8</v>
      </c>
      <c r="EZ142" s="174">
        <v>8</v>
      </c>
      <c r="FA142" s="174">
        <v>8</v>
      </c>
      <c r="FB142" s="174">
        <v>8</v>
      </c>
      <c r="FC142" s="174">
        <v>8</v>
      </c>
      <c r="FD142" s="174">
        <v>8</v>
      </c>
      <c r="FE142" s="174">
        <v>8</v>
      </c>
      <c r="FF142" s="174">
        <v>8</v>
      </c>
      <c r="FG142" s="174">
        <v>8</v>
      </c>
      <c r="FH142" s="174">
        <v>8</v>
      </c>
      <c r="FI142" s="174">
        <v>8</v>
      </c>
      <c r="FJ142" s="174">
        <v>8</v>
      </c>
      <c r="FK142" s="174">
        <v>8</v>
      </c>
      <c r="FL142" s="174">
        <v>8</v>
      </c>
      <c r="FM142" s="174">
        <v>8</v>
      </c>
      <c r="FN142" s="174">
        <v>8</v>
      </c>
      <c r="FO142" s="174">
        <v>8</v>
      </c>
      <c r="FP142" s="174">
        <v>8</v>
      </c>
      <c r="FQ142" s="174">
        <v>8</v>
      </c>
      <c r="FR142" s="174">
        <v>8</v>
      </c>
      <c r="FS142" s="174">
        <v>8</v>
      </c>
      <c r="FT142" s="174">
        <v>8</v>
      </c>
      <c r="FU142" s="174">
        <v>8</v>
      </c>
      <c r="FZ142" s="174">
        <v>8</v>
      </c>
      <c r="GA142" s="174">
        <v>8</v>
      </c>
      <c r="GB142" s="174">
        <v>8</v>
      </c>
      <c r="GC142" s="174">
        <v>8</v>
      </c>
      <c r="GD142" s="174">
        <v>8</v>
      </c>
      <c r="GE142" s="174">
        <v>8</v>
      </c>
      <c r="GF142" s="174">
        <v>8</v>
      </c>
      <c r="GG142" s="174">
        <v>8</v>
      </c>
      <c r="GH142" s="174">
        <v>8</v>
      </c>
      <c r="GK142" s="174">
        <v>8</v>
      </c>
      <c r="GL142" s="174">
        <v>8</v>
      </c>
      <c r="GM142" s="174">
        <v>4</v>
      </c>
      <c r="GN142" s="174">
        <v>8</v>
      </c>
      <c r="GP142" s="174">
        <v>8</v>
      </c>
      <c r="GQ142" s="174">
        <v>8</v>
      </c>
      <c r="GR142" s="174">
        <v>8</v>
      </c>
      <c r="HA142" s="174">
        <v>15</v>
      </c>
      <c r="HB142" s="197">
        <v>139</v>
      </c>
      <c r="HC142" s="194">
        <v>89</v>
      </c>
      <c r="HD142" s="238">
        <v>114.5</v>
      </c>
      <c r="HE142" s="236">
        <v>25</v>
      </c>
      <c r="HF142" s="183">
        <v>204</v>
      </c>
      <c r="HG142" s="193" t="e">
        <f t="shared" si="20"/>
        <v>#N/A</v>
      </c>
      <c r="HH142" s="192" t="e">
        <f t="shared" si="21"/>
        <v>#N/A</v>
      </c>
      <c r="HI142" s="198">
        <v>25</v>
      </c>
      <c r="HJ142" s="185">
        <v>159.5</v>
      </c>
      <c r="HK142" s="182">
        <v>140</v>
      </c>
      <c r="HL142" s="182">
        <v>550</v>
      </c>
      <c r="HM142" s="182">
        <v>620</v>
      </c>
      <c r="HN142" s="182">
        <v>490</v>
      </c>
      <c r="HO142" s="182">
        <v>260</v>
      </c>
      <c r="HP142" s="182">
        <v>250</v>
      </c>
      <c r="HQ142" s="182">
        <v>240</v>
      </c>
      <c r="HR142" s="182">
        <v>230</v>
      </c>
      <c r="HS142" s="174">
        <v>490</v>
      </c>
      <c r="HT142" s="174">
        <v>480</v>
      </c>
      <c r="HU142" s="182">
        <v>240</v>
      </c>
      <c r="HV142" s="182">
        <v>350</v>
      </c>
      <c r="HW142" s="182">
        <v>230</v>
      </c>
      <c r="HX142" s="182">
        <v>220</v>
      </c>
      <c r="HY142" s="182">
        <v>210</v>
      </c>
      <c r="HZ142" s="182">
        <v>200</v>
      </c>
      <c r="IA142" s="174">
        <v>340</v>
      </c>
      <c r="IB142" s="182">
        <v>320</v>
      </c>
      <c r="IC142" s="182">
        <v>200</v>
      </c>
      <c r="ID142" s="182">
        <v>170</v>
      </c>
      <c r="IE142" s="182">
        <v>150</v>
      </c>
      <c r="IF142" s="182">
        <v>142</v>
      </c>
    </row>
    <row r="143" spans="1:240" ht="13.35" customHeight="1" thickBot="1" x14ac:dyDescent="0.25">
      <c r="A143" s="183">
        <f t="shared" si="19"/>
        <v>142</v>
      </c>
      <c r="B143" s="184">
        <f t="shared" si="16"/>
        <v>94</v>
      </c>
      <c r="C143" s="183">
        <f t="shared" si="15"/>
        <v>2794</v>
      </c>
      <c r="E143" s="207"/>
      <c r="EE143" s="203">
        <v>2.2891999999999983</v>
      </c>
      <c r="EF143" s="174">
        <v>15</v>
      </c>
      <c r="EO143" s="174">
        <v>6</v>
      </c>
      <c r="EP143" s="174">
        <v>6</v>
      </c>
      <c r="ET143" s="174">
        <v>8</v>
      </c>
      <c r="EU143" s="174">
        <v>7</v>
      </c>
      <c r="EV143" s="174">
        <v>7</v>
      </c>
      <c r="EW143" s="174">
        <v>7</v>
      </c>
      <c r="EX143" s="174">
        <v>7</v>
      </c>
      <c r="EY143" s="174">
        <v>6</v>
      </c>
      <c r="FA143" s="174">
        <v>2</v>
      </c>
      <c r="FB143" s="174">
        <v>7</v>
      </c>
      <c r="FC143" s="174">
        <v>7</v>
      </c>
      <c r="FD143" s="174">
        <v>7</v>
      </c>
      <c r="FE143" s="174">
        <v>7</v>
      </c>
      <c r="FF143" s="174">
        <v>7</v>
      </c>
      <c r="FG143" s="174">
        <v>7</v>
      </c>
      <c r="FH143" s="174">
        <v>7</v>
      </c>
      <c r="FI143" s="174">
        <v>7</v>
      </c>
      <c r="FL143" s="174">
        <v>4</v>
      </c>
      <c r="FO143" s="174">
        <v>4</v>
      </c>
      <c r="FQ143" s="174">
        <v>7</v>
      </c>
      <c r="FR143" s="174">
        <v>5</v>
      </c>
      <c r="FS143" s="174">
        <v>7</v>
      </c>
      <c r="FT143" s="174">
        <v>7</v>
      </c>
      <c r="FU143" s="174">
        <v>7</v>
      </c>
      <c r="FV143" s="174">
        <v>1</v>
      </c>
      <c r="FW143" s="174">
        <v>1</v>
      </c>
      <c r="FX143" s="174">
        <v>1</v>
      </c>
      <c r="FY143" s="174">
        <v>1</v>
      </c>
      <c r="FZ143" s="174">
        <v>5</v>
      </c>
      <c r="GA143" s="174">
        <v>4</v>
      </c>
      <c r="GB143" s="174">
        <v>4</v>
      </c>
      <c r="GC143" s="174">
        <v>4</v>
      </c>
      <c r="GD143" s="174">
        <v>4</v>
      </c>
      <c r="GE143" s="174">
        <v>4</v>
      </c>
      <c r="GF143" s="174">
        <v>4</v>
      </c>
      <c r="GG143" s="174">
        <v>4</v>
      </c>
      <c r="GH143" s="174">
        <v>4</v>
      </c>
      <c r="GL143" s="174">
        <v>4</v>
      </c>
      <c r="GN143" s="174">
        <v>7</v>
      </c>
      <c r="GP143" s="174">
        <v>5</v>
      </c>
      <c r="GQ143" s="174">
        <v>5</v>
      </c>
      <c r="GR143" s="174">
        <v>7</v>
      </c>
      <c r="HA143" s="174">
        <v>16</v>
      </c>
      <c r="HB143" s="197">
        <v>140</v>
      </c>
      <c r="HC143" s="194">
        <v>89</v>
      </c>
      <c r="HD143" s="238">
        <v>115</v>
      </c>
      <c r="HE143" s="236">
        <v>25</v>
      </c>
      <c r="HF143" s="183">
        <v>205</v>
      </c>
      <c r="HG143" s="193" t="e">
        <f t="shared" si="20"/>
        <v>#N/A</v>
      </c>
      <c r="HH143" s="192" t="e">
        <f t="shared" si="21"/>
        <v>#N/A</v>
      </c>
      <c r="HI143" s="198">
        <v>25</v>
      </c>
      <c r="HJ143" s="185">
        <v>160</v>
      </c>
      <c r="HK143" s="174">
        <v>141</v>
      </c>
      <c r="HL143" s="174">
        <v>553</v>
      </c>
      <c r="HM143" s="174">
        <v>624</v>
      </c>
      <c r="HN143" s="174">
        <v>493</v>
      </c>
      <c r="HO143" s="174">
        <v>261</v>
      </c>
      <c r="HP143" s="174">
        <v>251</v>
      </c>
      <c r="HQ143" s="174">
        <v>241</v>
      </c>
      <c r="HR143" s="174">
        <v>231</v>
      </c>
      <c r="HS143" s="174">
        <v>493</v>
      </c>
      <c r="HT143" s="174">
        <v>483</v>
      </c>
      <c r="HU143" s="174">
        <v>241</v>
      </c>
      <c r="HV143" s="174">
        <v>352</v>
      </c>
      <c r="HW143" s="174">
        <v>231</v>
      </c>
      <c r="HX143" s="174">
        <v>221</v>
      </c>
      <c r="HY143" s="174">
        <v>211</v>
      </c>
      <c r="HZ143" s="174">
        <v>201</v>
      </c>
      <c r="IA143" s="174">
        <v>342</v>
      </c>
      <c r="IB143" s="174">
        <v>322</v>
      </c>
      <c r="IC143" s="174">
        <v>201</v>
      </c>
      <c r="ID143" s="174">
        <v>171</v>
      </c>
      <c r="IE143" s="174">
        <v>151</v>
      </c>
      <c r="IF143" s="174">
        <v>143</v>
      </c>
    </row>
    <row r="144" spans="1:240" ht="13.35" customHeight="1" thickBot="1" x14ac:dyDescent="0.25">
      <c r="A144" s="183">
        <f t="shared" si="19"/>
        <v>143</v>
      </c>
      <c r="B144" s="184">
        <f t="shared" si="16"/>
        <v>96</v>
      </c>
      <c r="C144" s="183">
        <f t="shared" si="15"/>
        <v>2899</v>
      </c>
      <c r="E144" s="207" t="s">
        <v>1116</v>
      </c>
      <c r="F144" s="174" t="s">
        <v>782</v>
      </c>
      <c r="G144" s="174" t="s">
        <v>783</v>
      </c>
      <c r="H144" s="174" t="s">
        <v>784</v>
      </c>
      <c r="I144" s="174" t="s">
        <v>785</v>
      </c>
      <c r="J144" s="174" t="s">
        <v>786</v>
      </c>
      <c r="K144" s="174" t="s">
        <v>787</v>
      </c>
      <c r="L144" s="174" t="s">
        <v>788</v>
      </c>
      <c r="M144" s="174" t="s">
        <v>789</v>
      </c>
      <c r="N144" s="174" t="s">
        <v>790</v>
      </c>
      <c r="O144" s="174" t="s">
        <v>791</v>
      </c>
      <c r="P144" s="174" t="s">
        <v>792</v>
      </c>
      <c r="Q144" s="174" t="s">
        <v>793</v>
      </c>
      <c r="R144" s="174" t="s">
        <v>794</v>
      </c>
      <c r="S144" s="174" t="s">
        <v>182</v>
      </c>
      <c r="T144" s="174" t="s">
        <v>795</v>
      </c>
      <c r="U144" s="174" t="s">
        <v>796</v>
      </c>
      <c r="V144" s="174" t="s">
        <v>797</v>
      </c>
      <c r="W144" s="174" t="s">
        <v>798</v>
      </c>
      <c r="X144" s="174" t="s">
        <v>799</v>
      </c>
      <c r="Y144" s="174" t="s">
        <v>800</v>
      </c>
      <c r="AA144" s="174" t="str">
        <f>AA129</f>
        <v>Arcanist (AC)</v>
      </c>
      <c r="AB144" s="174" t="str">
        <f>AB129</f>
        <v>Wizard (AC)</v>
      </c>
      <c r="AC144" s="174" t="str">
        <f>AC129</f>
        <v>Chaotic (AC)</v>
      </c>
      <c r="AD144" s="174" t="str">
        <f>AD129</f>
        <v>Magehunter (AC)</v>
      </c>
      <c r="AF144" s="174" t="s">
        <v>805</v>
      </c>
      <c r="AG144" s="174" t="s">
        <v>806</v>
      </c>
      <c r="AH144" s="174" t="s">
        <v>807</v>
      </c>
      <c r="AJ144" s="174" t="s">
        <v>808</v>
      </c>
      <c r="AK144" s="174" t="s">
        <v>809</v>
      </c>
      <c r="AL144" s="174" t="s">
        <v>810</v>
      </c>
      <c r="AM144" s="174" t="s">
        <v>811</v>
      </c>
      <c r="AO144" s="174" t="s">
        <v>812</v>
      </c>
      <c r="AP144" s="174" t="s">
        <v>813</v>
      </c>
      <c r="AQ144" s="174" t="s">
        <v>814</v>
      </c>
      <c r="AS144" s="174" t="s">
        <v>815</v>
      </c>
      <c r="AT144" s="174" t="s">
        <v>816</v>
      </c>
      <c r="AU144" s="174" t="s">
        <v>817</v>
      </c>
      <c r="AV144" s="174" t="s">
        <v>818</v>
      </c>
      <c r="AW144" s="174" t="s">
        <v>819</v>
      </c>
      <c r="AX144" s="174" t="s">
        <v>820</v>
      </c>
      <c r="AY144" s="174" t="s">
        <v>821</v>
      </c>
      <c r="AZ144" s="174" t="s">
        <v>822</v>
      </c>
      <c r="BA144" s="174" t="str">
        <f t="shared" ref="BA144:CQ144" si="22">BA129</f>
        <v>Priest of Culture</v>
      </c>
      <c r="BB144" s="174" t="str">
        <f t="shared" si="22"/>
        <v>Priest of Darkness, Night</v>
      </c>
      <c r="BC144" s="174" t="str">
        <f t="shared" si="22"/>
        <v>Priest of Dawn</v>
      </c>
      <c r="BD144" s="174" t="str">
        <f t="shared" si="22"/>
        <v>Priest of Death</v>
      </c>
      <c r="BE144" s="174" t="str">
        <f t="shared" si="22"/>
        <v>Priest of Disease</v>
      </c>
      <c r="BF144" s="174" t="str">
        <f t="shared" si="22"/>
        <v>Priest of Earth</v>
      </c>
      <c r="BG144" s="174" t="str">
        <f t="shared" si="22"/>
        <v>Priest of Fate, Destiny</v>
      </c>
      <c r="BH144" s="174" t="str">
        <f t="shared" si="22"/>
        <v>Priest of Fertility</v>
      </c>
      <c r="BI144" s="174" t="str">
        <f t="shared" si="22"/>
        <v>Priest of Fire</v>
      </c>
      <c r="BJ144" s="174" t="str">
        <f t="shared" si="22"/>
        <v>Priest of Fortune, Luck</v>
      </c>
      <c r="BK144" s="174" t="str">
        <f t="shared" si="22"/>
        <v>Priest of Guardianship</v>
      </c>
      <c r="BL144" s="174" t="str">
        <f t="shared" si="22"/>
        <v>Priest of Healing</v>
      </c>
      <c r="BM144" s="174" t="str">
        <f t="shared" si="22"/>
        <v>Priest of Hunting</v>
      </c>
      <c r="BN144" s="174" t="str">
        <f t="shared" si="22"/>
        <v>Priest of Justice, Revenge</v>
      </c>
      <c r="BO144" s="174" t="str">
        <f t="shared" si="22"/>
        <v>Priest of Light</v>
      </c>
      <c r="BP144" s="174" t="str">
        <f t="shared" si="22"/>
        <v>Priest of Lightning</v>
      </c>
      <c r="BQ144" s="174" t="str">
        <f t="shared" si="22"/>
        <v>Priest of Literature</v>
      </c>
      <c r="BR144" s="174" t="str">
        <f t="shared" si="22"/>
        <v>Priest of Love</v>
      </c>
      <c r="BS144" s="174" t="str">
        <f t="shared" si="22"/>
        <v>Priest of Magic</v>
      </c>
      <c r="BT144" s="174" t="str">
        <f t="shared" si="22"/>
        <v>Priest of Marriage</v>
      </c>
      <c r="BU144" s="174" t="str">
        <f t="shared" si="22"/>
        <v>Priest of Messengers</v>
      </c>
      <c r="BV144" s="174" t="str">
        <f t="shared" si="22"/>
        <v>Priest of Metalwork</v>
      </c>
      <c r="BW144" s="174" t="str">
        <f t="shared" si="22"/>
        <v>Priest of Mischief/Trickery</v>
      </c>
      <c r="BX144" s="174" t="str">
        <f t="shared" si="22"/>
        <v>Priest of Moon</v>
      </c>
      <c r="BY144" s="174" t="str">
        <f t="shared" si="22"/>
        <v>Priest of Music, Dance</v>
      </c>
      <c r="BZ144" s="174" t="str">
        <f t="shared" si="22"/>
        <v>Priest of Nature</v>
      </c>
      <c r="CA144" s="174" t="str">
        <f t="shared" si="22"/>
        <v>Priest of Ocean, Rivers</v>
      </c>
      <c r="CB144" s="174" t="str">
        <f t="shared" si="22"/>
        <v>Priest of Oracles</v>
      </c>
      <c r="CC144" s="174" t="str">
        <f t="shared" si="22"/>
        <v>Priest of Peace</v>
      </c>
      <c r="CD144" s="174" t="str">
        <f t="shared" si="22"/>
        <v>Priest of Prosperity</v>
      </c>
      <c r="CE144" s="174" t="str">
        <f t="shared" si="22"/>
        <v>Priest of Redemption</v>
      </c>
      <c r="CF144" s="174" t="str">
        <f t="shared" si="22"/>
        <v>Priest of Rulership</v>
      </c>
      <c r="CG144" s="174" t="str">
        <f t="shared" si="22"/>
        <v>Priest of Seasons</v>
      </c>
      <c r="CH144" s="174" t="str">
        <f t="shared" si="22"/>
        <v>Priest of Sky, Weather</v>
      </c>
      <c r="CI144" s="174" t="str">
        <f t="shared" si="22"/>
        <v>Priest of Strength</v>
      </c>
      <c r="CJ144" s="174" t="str">
        <f t="shared" si="22"/>
        <v>Priest of Sun</v>
      </c>
      <c r="CK144" s="174" t="str">
        <f t="shared" si="22"/>
        <v>Priest of Thunder</v>
      </c>
      <c r="CL144" s="174" t="str">
        <f t="shared" si="22"/>
        <v>Priest of Time</v>
      </c>
      <c r="CM144" s="174" t="str">
        <f t="shared" si="22"/>
        <v>Priest of Trade</v>
      </c>
      <c r="CN144" s="174" t="str">
        <f t="shared" si="22"/>
        <v>Priest of Vegetation</v>
      </c>
      <c r="CO144" s="174" t="str">
        <f t="shared" si="22"/>
        <v>Priest of War</v>
      </c>
      <c r="CP144" s="174" t="str">
        <f t="shared" si="22"/>
        <v>Priest of Wind</v>
      </c>
      <c r="CQ144" s="174" t="str">
        <f t="shared" si="22"/>
        <v>Priest of Wisdom</v>
      </c>
      <c r="CS144" s="174" t="str">
        <f>CS129</f>
        <v>Barbarian (FRP)</v>
      </c>
      <c r="CT144" s="174" t="str">
        <f>CT129</f>
        <v>Outrider (FRP)</v>
      </c>
      <c r="CU144" s="174" t="str">
        <f>CU129</f>
        <v>Sage (FRP)</v>
      </c>
      <c r="CV144" s="174" t="str">
        <f>CV129</f>
        <v>Swashbuckler (FRP)</v>
      </c>
      <c r="CX144" s="174" t="s">
        <v>870</v>
      </c>
      <c r="CY144" s="174" t="s">
        <v>871</v>
      </c>
      <c r="CZ144" s="174" t="s">
        <v>872</v>
      </c>
      <c r="DA144" s="174" t="s">
        <v>1149</v>
      </c>
      <c r="DB144" s="174" t="s">
        <v>874</v>
      </c>
      <c r="DC144" s="174" t="s">
        <v>875</v>
      </c>
      <c r="DD144" s="174" t="s">
        <v>876</v>
      </c>
      <c r="DE144" s="174" t="str">
        <f>DE129</f>
        <v>NEW PROF</v>
      </c>
      <c r="DF144" s="174">
        <v>1</v>
      </c>
      <c r="EE144" s="203">
        <v>2.3145999999999982</v>
      </c>
      <c r="EF144" s="174">
        <v>15</v>
      </c>
      <c r="EO144" s="174">
        <v>6</v>
      </c>
      <c r="EP144" s="174">
        <v>6</v>
      </c>
      <c r="ET144" s="174">
        <v>8</v>
      </c>
      <c r="EU144" s="174">
        <v>7</v>
      </c>
      <c r="EV144" s="174">
        <v>7</v>
      </c>
      <c r="EW144" s="174">
        <v>7</v>
      </c>
      <c r="EX144" s="174">
        <v>7</v>
      </c>
      <c r="EY144" s="174">
        <v>6</v>
      </c>
      <c r="FA144" s="174">
        <v>2</v>
      </c>
      <c r="FB144" s="174">
        <v>7</v>
      </c>
      <c r="FC144" s="174">
        <v>7</v>
      </c>
      <c r="FD144" s="174">
        <v>7</v>
      </c>
      <c r="FE144" s="174">
        <v>7</v>
      </c>
      <c r="FF144" s="174">
        <v>7</v>
      </c>
      <c r="FG144" s="174">
        <v>7</v>
      </c>
      <c r="FI144" s="174">
        <v>7</v>
      </c>
      <c r="FL144" s="174">
        <v>4</v>
      </c>
      <c r="FO144" s="174">
        <v>3</v>
      </c>
      <c r="FQ144" s="174">
        <v>7</v>
      </c>
      <c r="FR144" s="174">
        <v>4</v>
      </c>
      <c r="FS144" s="174">
        <v>7</v>
      </c>
      <c r="FT144" s="174">
        <v>7</v>
      </c>
      <c r="FU144" s="174">
        <v>7</v>
      </c>
      <c r="FZ144" s="174">
        <v>4</v>
      </c>
      <c r="GA144" s="174">
        <v>3</v>
      </c>
      <c r="GB144" s="174">
        <v>3</v>
      </c>
      <c r="GC144" s="174">
        <v>3</v>
      </c>
      <c r="GD144" s="174">
        <v>3</v>
      </c>
      <c r="GE144" s="174">
        <v>3</v>
      </c>
      <c r="GF144" s="174">
        <v>3</v>
      </c>
      <c r="GG144" s="174">
        <v>3</v>
      </c>
      <c r="GH144" s="174">
        <v>3</v>
      </c>
      <c r="GL144" s="174">
        <v>4</v>
      </c>
      <c r="GN144" s="174">
        <v>2</v>
      </c>
      <c r="GP144" s="174">
        <v>4</v>
      </c>
      <c r="GQ144" s="174">
        <v>4</v>
      </c>
      <c r="GR144" s="174">
        <v>7</v>
      </c>
      <c r="HA144" s="174">
        <v>17</v>
      </c>
      <c r="HB144" s="197">
        <v>141</v>
      </c>
      <c r="HC144" s="194">
        <v>90</v>
      </c>
      <c r="HD144" s="238">
        <v>115.5</v>
      </c>
      <c r="HE144" s="236">
        <v>25</v>
      </c>
      <c r="HF144" s="183">
        <v>206</v>
      </c>
      <c r="HG144" s="193" t="e">
        <f t="shared" si="20"/>
        <v>#N/A</v>
      </c>
      <c r="HH144" s="192" t="e">
        <f t="shared" si="21"/>
        <v>#N/A</v>
      </c>
      <c r="HI144" s="198">
        <v>25</v>
      </c>
      <c r="HJ144" s="185">
        <v>160.5</v>
      </c>
      <c r="HK144" s="174">
        <v>142</v>
      </c>
      <c r="HL144" s="174">
        <v>556</v>
      </c>
      <c r="HM144" s="174">
        <v>628</v>
      </c>
      <c r="HN144" s="174">
        <v>496</v>
      </c>
      <c r="HO144" s="174">
        <v>262</v>
      </c>
      <c r="HP144" s="174">
        <v>252</v>
      </c>
      <c r="HQ144" s="174">
        <v>242</v>
      </c>
      <c r="HR144" s="174">
        <v>232</v>
      </c>
      <c r="HS144" s="174">
        <v>496</v>
      </c>
      <c r="HT144" s="174">
        <v>486</v>
      </c>
      <c r="HU144" s="174">
        <v>242</v>
      </c>
      <c r="HV144" s="174">
        <v>354</v>
      </c>
      <c r="HW144" s="174">
        <v>232</v>
      </c>
      <c r="HX144" s="174">
        <v>222</v>
      </c>
      <c r="HY144" s="174">
        <v>212</v>
      </c>
      <c r="HZ144" s="174">
        <v>202</v>
      </c>
      <c r="IA144" s="174">
        <v>344</v>
      </c>
      <c r="IB144" s="174">
        <v>324</v>
      </c>
      <c r="IC144" s="174">
        <v>202</v>
      </c>
      <c r="ID144" s="174">
        <v>172</v>
      </c>
      <c r="IE144" s="174">
        <v>152</v>
      </c>
      <c r="IF144" s="174">
        <v>144</v>
      </c>
    </row>
    <row r="145" spans="1:240" ht="13.35" customHeight="1" thickBot="1" x14ac:dyDescent="0.25">
      <c r="A145" s="183">
        <f t="shared" si="19"/>
        <v>144</v>
      </c>
      <c r="B145" s="184">
        <f t="shared" si="16"/>
        <v>98</v>
      </c>
      <c r="C145" s="183">
        <f t="shared" si="15"/>
        <v>3006</v>
      </c>
      <c r="E145" s="207"/>
      <c r="F145" s="182" t="s">
        <v>1695</v>
      </c>
      <c r="G145" s="182" t="s">
        <v>1696</v>
      </c>
      <c r="H145" s="182" t="s">
        <v>549</v>
      </c>
      <c r="I145" s="182" t="s">
        <v>480</v>
      </c>
      <c r="J145" s="182" t="s">
        <v>1697</v>
      </c>
      <c r="K145" s="182" t="s">
        <v>505</v>
      </c>
      <c r="L145" s="182" t="s">
        <v>505</v>
      </c>
      <c r="M145" s="182" t="s">
        <v>505</v>
      </c>
      <c r="N145" s="182" t="s">
        <v>505</v>
      </c>
      <c r="O145" s="182" t="s">
        <v>485</v>
      </c>
      <c r="P145" s="182" t="s">
        <v>505</v>
      </c>
      <c r="Q145" s="182" t="s">
        <v>505</v>
      </c>
      <c r="R145" s="182" t="s">
        <v>505</v>
      </c>
      <c r="S145" s="182" t="s">
        <v>505</v>
      </c>
      <c r="T145" s="182" t="s">
        <v>1407</v>
      </c>
      <c r="U145" s="182" t="s">
        <v>656</v>
      </c>
      <c r="V145" s="182" t="s">
        <v>505</v>
      </c>
      <c r="W145" s="182" t="s">
        <v>480</v>
      </c>
      <c r="X145" s="182" t="s">
        <v>505</v>
      </c>
      <c r="Y145" s="182" t="s">
        <v>248</v>
      </c>
      <c r="Z145" s="182"/>
      <c r="AA145" s="182" t="s">
        <v>1698</v>
      </c>
      <c r="AB145" s="182" t="s">
        <v>1699</v>
      </c>
      <c r="AC145" s="182" t="s">
        <v>639</v>
      </c>
      <c r="AD145" s="182" t="s">
        <v>620</v>
      </c>
      <c r="AE145" s="182"/>
      <c r="AF145" s="182" t="s">
        <v>1700</v>
      </c>
      <c r="AG145" s="182" t="s">
        <v>505</v>
      </c>
      <c r="AH145" s="182" t="s">
        <v>248</v>
      </c>
      <c r="AI145" s="182"/>
      <c r="AJ145" s="182" t="s">
        <v>1349</v>
      </c>
      <c r="AK145" s="182" t="s">
        <v>650</v>
      </c>
      <c r="AL145" s="182" t="s">
        <v>570</v>
      </c>
      <c r="AM145" s="182" t="s">
        <v>628</v>
      </c>
      <c r="AN145" s="182"/>
      <c r="AO145" s="182" t="s">
        <v>505</v>
      </c>
      <c r="AP145" s="182" t="s">
        <v>505</v>
      </c>
      <c r="AQ145" s="182" t="s">
        <v>248</v>
      </c>
      <c r="AR145" s="182"/>
      <c r="AS145" s="182" t="s">
        <v>1701</v>
      </c>
      <c r="AT145" s="182" t="s">
        <v>562</v>
      </c>
      <c r="AU145" s="182" t="s">
        <v>1702</v>
      </c>
      <c r="AV145" s="182" t="s">
        <v>1703</v>
      </c>
      <c r="AW145" s="182" t="s">
        <v>681</v>
      </c>
      <c r="AX145" s="182" t="s">
        <v>562</v>
      </c>
      <c r="AY145" s="182" t="s">
        <v>1703</v>
      </c>
      <c r="AZ145" s="182" t="s">
        <v>1703</v>
      </c>
      <c r="BA145" s="182" t="s">
        <v>1290</v>
      </c>
      <c r="BB145" s="182" t="s">
        <v>1703</v>
      </c>
      <c r="BC145" s="182" t="s">
        <v>1703</v>
      </c>
      <c r="BD145" s="182" t="s">
        <v>248</v>
      </c>
      <c r="BE145" s="182" t="s">
        <v>1703</v>
      </c>
      <c r="BF145" s="182" t="s">
        <v>1290</v>
      </c>
      <c r="BG145" s="182" t="s">
        <v>1290</v>
      </c>
      <c r="BH145" s="182" t="s">
        <v>531</v>
      </c>
      <c r="BI145" s="182" t="s">
        <v>1703</v>
      </c>
      <c r="BJ145" s="182" t="s">
        <v>682</v>
      </c>
      <c r="BK145" s="182" t="s">
        <v>606</v>
      </c>
      <c r="BL145" s="182" t="s">
        <v>1137</v>
      </c>
      <c r="BM145" s="182" t="s">
        <v>1704</v>
      </c>
      <c r="BN145" s="182" t="s">
        <v>1703</v>
      </c>
      <c r="BO145" s="182" t="s">
        <v>681</v>
      </c>
      <c r="BP145" s="182" t="s">
        <v>1703</v>
      </c>
      <c r="BQ145" s="182" t="s">
        <v>1705</v>
      </c>
      <c r="BR145" s="182" t="s">
        <v>1703</v>
      </c>
      <c r="BS145" s="182" t="s">
        <v>1703</v>
      </c>
      <c r="BT145" s="182" t="s">
        <v>1290</v>
      </c>
      <c r="BU145" s="182" t="s">
        <v>1705</v>
      </c>
      <c r="BV145" s="182" t="s">
        <v>1706</v>
      </c>
      <c r="BW145" s="182" t="s">
        <v>1707</v>
      </c>
      <c r="BX145" s="182" t="s">
        <v>1708</v>
      </c>
      <c r="BY145" s="182" t="s">
        <v>1709</v>
      </c>
      <c r="BZ145" s="182" t="s">
        <v>1704</v>
      </c>
      <c r="CA145" s="182" t="s">
        <v>536</v>
      </c>
      <c r="CB145" s="182" t="s">
        <v>1307</v>
      </c>
      <c r="CC145" s="182" t="s">
        <v>1710</v>
      </c>
      <c r="CD145" s="182" t="s">
        <v>696</v>
      </c>
      <c r="CE145" s="182" t="s">
        <v>1707</v>
      </c>
      <c r="CF145" s="182" t="s">
        <v>1707</v>
      </c>
      <c r="CG145" s="182" t="s">
        <v>1307</v>
      </c>
      <c r="CH145" s="182" t="s">
        <v>1703</v>
      </c>
      <c r="CI145" s="182" t="s">
        <v>1703</v>
      </c>
      <c r="CJ145" s="182" t="s">
        <v>1137</v>
      </c>
      <c r="CK145" s="182" t="s">
        <v>1703</v>
      </c>
      <c r="CL145" s="182" t="s">
        <v>1711</v>
      </c>
      <c r="CM145" s="182"/>
      <c r="CN145" s="182" t="s">
        <v>1703</v>
      </c>
      <c r="CO145" s="182" t="s">
        <v>1712</v>
      </c>
      <c r="CP145" s="182" t="s">
        <v>1713</v>
      </c>
      <c r="CQ145" s="182" t="s">
        <v>1705</v>
      </c>
      <c r="CR145" s="182"/>
      <c r="CS145" s="182" t="s">
        <v>1714</v>
      </c>
      <c r="CT145" s="182" t="s">
        <v>1715</v>
      </c>
      <c r="CU145" s="182" t="s">
        <v>1716</v>
      </c>
      <c r="CV145" s="182" t="s">
        <v>1717</v>
      </c>
      <c r="CW145" s="182"/>
      <c r="CX145" s="182" t="s">
        <v>1718</v>
      </c>
      <c r="CY145" s="182" t="s">
        <v>505</v>
      </c>
      <c r="CZ145" s="182" t="s">
        <v>505</v>
      </c>
      <c r="DA145" s="182" t="s">
        <v>1714</v>
      </c>
      <c r="DB145" s="182" t="s">
        <v>505</v>
      </c>
      <c r="DC145" s="182" t="s">
        <v>505</v>
      </c>
      <c r="DD145" s="182" t="s">
        <v>505</v>
      </c>
      <c r="DE145" s="182"/>
      <c r="DF145" s="174">
        <v>2</v>
      </c>
      <c r="EE145" s="203">
        <v>2.3399999999999981</v>
      </c>
      <c r="EF145" s="174">
        <v>15</v>
      </c>
      <c r="ET145" s="174">
        <v>6</v>
      </c>
      <c r="EV145" s="174">
        <v>7</v>
      </c>
      <c r="EW145" s="174">
        <v>6</v>
      </c>
      <c r="EX145" s="174">
        <v>6</v>
      </c>
      <c r="FB145" s="174">
        <v>6</v>
      </c>
      <c r="FC145" s="174">
        <v>7</v>
      </c>
      <c r="FD145" s="174">
        <v>6</v>
      </c>
      <c r="FE145" s="174">
        <v>6</v>
      </c>
      <c r="FF145" s="174">
        <v>5</v>
      </c>
      <c r="FG145" s="174">
        <v>2</v>
      </c>
      <c r="FH145" s="174">
        <v>7</v>
      </c>
      <c r="FI145" s="174">
        <v>5</v>
      </c>
      <c r="FO145" s="174">
        <v>4</v>
      </c>
      <c r="FQ145" s="174">
        <v>6</v>
      </c>
      <c r="FR145" s="174">
        <v>5</v>
      </c>
      <c r="FZ145" s="174">
        <v>4</v>
      </c>
      <c r="GA145" s="174">
        <v>2</v>
      </c>
      <c r="GB145" s="174">
        <v>2</v>
      </c>
      <c r="GC145" s="174">
        <v>2</v>
      </c>
      <c r="GD145" s="174">
        <v>2</v>
      </c>
      <c r="GE145" s="174">
        <v>2</v>
      </c>
      <c r="GF145" s="174">
        <v>2</v>
      </c>
      <c r="GG145" s="174">
        <v>2</v>
      </c>
      <c r="GH145" s="174">
        <v>2</v>
      </c>
      <c r="GL145" s="174">
        <v>4</v>
      </c>
      <c r="GN145" s="174">
        <v>4</v>
      </c>
      <c r="GP145" s="174">
        <v>4</v>
      </c>
      <c r="GQ145" s="174">
        <v>5</v>
      </c>
      <c r="GR145" s="174">
        <v>5</v>
      </c>
      <c r="HA145" s="174">
        <v>18</v>
      </c>
      <c r="HB145" s="197">
        <v>142</v>
      </c>
      <c r="HC145" s="194">
        <v>90</v>
      </c>
      <c r="HD145" s="238">
        <v>116</v>
      </c>
      <c r="HE145" s="236">
        <v>25</v>
      </c>
      <c r="HF145" s="183">
        <v>207</v>
      </c>
      <c r="HG145" s="193" t="e">
        <f t="shared" si="20"/>
        <v>#N/A</v>
      </c>
      <c r="HH145" s="192" t="e">
        <f t="shared" si="21"/>
        <v>#N/A</v>
      </c>
      <c r="HI145" s="198">
        <v>25</v>
      </c>
      <c r="HJ145" s="185">
        <v>161</v>
      </c>
      <c r="HK145" s="174">
        <v>143</v>
      </c>
      <c r="HL145" s="174">
        <v>559</v>
      </c>
      <c r="HM145" s="174">
        <v>632</v>
      </c>
      <c r="HN145" s="174">
        <v>499</v>
      </c>
      <c r="HO145" s="174">
        <v>263</v>
      </c>
      <c r="HP145" s="174">
        <v>253</v>
      </c>
      <c r="HQ145" s="174">
        <v>243</v>
      </c>
      <c r="HR145" s="174">
        <v>233</v>
      </c>
      <c r="HS145" s="174">
        <v>499</v>
      </c>
      <c r="HT145" s="174">
        <v>489</v>
      </c>
      <c r="HU145" s="174">
        <v>243</v>
      </c>
      <c r="HV145" s="174">
        <v>356</v>
      </c>
      <c r="HW145" s="174">
        <v>233</v>
      </c>
      <c r="HX145" s="174">
        <v>223</v>
      </c>
      <c r="HY145" s="174">
        <v>213</v>
      </c>
      <c r="HZ145" s="174">
        <v>203</v>
      </c>
      <c r="IA145" s="174">
        <v>346</v>
      </c>
      <c r="IB145" s="174">
        <v>326</v>
      </c>
      <c r="IC145" s="174">
        <v>203</v>
      </c>
      <c r="ID145" s="174">
        <v>173</v>
      </c>
      <c r="IE145" s="174">
        <v>153</v>
      </c>
      <c r="IF145" s="174">
        <v>145</v>
      </c>
    </row>
    <row r="146" spans="1:240" ht="13.35" customHeight="1" thickBot="1" x14ac:dyDescent="0.25">
      <c r="A146" s="183">
        <f t="shared" si="19"/>
        <v>145</v>
      </c>
      <c r="B146" s="184">
        <f t="shared" si="16"/>
        <v>100</v>
      </c>
      <c r="C146" s="183">
        <f t="shared" si="15"/>
        <v>3115</v>
      </c>
      <c r="E146" s="207"/>
      <c r="F146" s="182" t="s">
        <v>551</v>
      </c>
      <c r="G146" s="182" t="s">
        <v>549</v>
      </c>
      <c r="H146" s="182" t="s">
        <v>581</v>
      </c>
      <c r="I146" s="182" t="s">
        <v>1719</v>
      </c>
      <c r="J146" s="182"/>
      <c r="K146" s="182" t="s">
        <v>623</v>
      </c>
      <c r="L146" s="182" t="s">
        <v>650</v>
      </c>
      <c r="M146" s="182" t="s">
        <v>650</v>
      </c>
      <c r="N146" s="182" t="s">
        <v>650</v>
      </c>
      <c r="O146" s="182" t="s">
        <v>505</v>
      </c>
      <c r="P146" s="182" t="s">
        <v>602</v>
      </c>
      <c r="Q146" s="182" t="s">
        <v>1720</v>
      </c>
      <c r="R146" s="182" t="s">
        <v>1720</v>
      </c>
      <c r="S146" s="182" t="s">
        <v>623</v>
      </c>
      <c r="T146" s="182"/>
      <c r="U146" s="182"/>
      <c r="V146" s="182"/>
      <c r="W146" s="182" t="s">
        <v>505</v>
      </c>
      <c r="X146" s="182"/>
      <c r="Y146" s="182"/>
      <c r="Z146" s="182"/>
      <c r="AA146" s="182"/>
      <c r="AB146" s="182"/>
      <c r="AC146" s="182"/>
      <c r="AD146" s="182"/>
      <c r="AE146" s="182"/>
      <c r="AF146" s="182" t="s">
        <v>1721</v>
      </c>
      <c r="AG146" s="182" t="s">
        <v>1699</v>
      </c>
      <c r="AH146" s="208"/>
      <c r="AI146" s="208"/>
      <c r="AJ146" s="182" t="s">
        <v>712</v>
      </c>
      <c r="AK146" s="182" t="s">
        <v>505</v>
      </c>
      <c r="AL146" s="182" t="s">
        <v>1290</v>
      </c>
      <c r="AM146" s="182" t="s">
        <v>1718</v>
      </c>
      <c r="AN146" s="182"/>
      <c r="AO146" s="182" t="s">
        <v>623</v>
      </c>
      <c r="AP146" s="182" t="s">
        <v>650</v>
      </c>
      <c r="AQ146" s="182"/>
      <c r="AR146" s="182"/>
      <c r="AS146" s="182" t="s">
        <v>1290</v>
      </c>
      <c r="AT146" s="182" t="s">
        <v>1703</v>
      </c>
      <c r="AU146" s="182" t="s">
        <v>1703</v>
      </c>
      <c r="AV146" s="182" t="s">
        <v>1722</v>
      </c>
      <c r="AW146" s="182" t="s">
        <v>1137</v>
      </c>
      <c r="AX146" s="182" t="s">
        <v>553</v>
      </c>
      <c r="AY146" s="182" t="s">
        <v>1723</v>
      </c>
      <c r="AZ146" s="182" t="s">
        <v>1724</v>
      </c>
      <c r="BA146" s="182" t="s">
        <v>1703</v>
      </c>
      <c r="BB146" s="182" t="s">
        <v>571</v>
      </c>
      <c r="BC146" s="182" t="s">
        <v>1725</v>
      </c>
      <c r="BD146" s="182"/>
      <c r="BE146" s="182" t="s">
        <v>1290</v>
      </c>
      <c r="BF146" s="182" t="s">
        <v>1703</v>
      </c>
      <c r="BG146" s="182" t="s">
        <v>1703</v>
      </c>
      <c r="BH146" s="182" t="s">
        <v>1177</v>
      </c>
      <c r="BI146" s="182" t="s">
        <v>571</v>
      </c>
      <c r="BJ146" s="182" t="s">
        <v>1703</v>
      </c>
      <c r="BK146" s="182" t="s">
        <v>681</v>
      </c>
      <c r="BL146" s="182" t="s">
        <v>1726</v>
      </c>
      <c r="BM146" s="182" t="s">
        <v>494</v>
      </c>
      <c r="BN146" s="182" t="s">
        <v>1727</v>
      </c>
      <c r="BO146" s="182" t="s">
        <v>1308</v>
      </c>
      <c r="BP146" s="182"/>
      <c r="BQ146" s="182" t="s">
        <v>423</v>
      </c>
      <c r="BR146" s="182" t="s">
        <v>415</v>
      </c>
      <c r="BS146" s="182" t="s">
        <v>1728</v>
      </c>
      <c r="BT146" s="182" t="s">
        <v>1707</v>
      </c>
      <c r="BU146" s="182" t="s">
        <v>1707</v>
      </c>
      <c r="BV146" s="182" t="s">
        <v>1124</v>
      </c>
      <c r="BW146" s="182" t="s">
        <v>1729</v>
      </c>
      <c r="BX146" s="182" t="s">
        <v>1703</v>
      </c>
      <c r="BY146" s="182" t="s">
        <v>1290</v>
      </c>
      <c r="BZ146" s="182" t="s">
        <v>1137</v>
      </c>
      <c r="CA146" s="182" t="s">
        <v>685</v>
      </c>
      <c r="CB146" s="182" t="s">
        <v>616</v>
      </c>
      <c r="CC146" s="182" t="s">
        <v>1705</v>
      </c>
      <c r="CD146" s="182" t="s">
        <v>1730</v>
      </c>
      <c r="CE146" s="182"/>
      <c r="CF146" s="182" t="s">
        <v>562</v>
      </c>
      <c r="CG146" s="182" t="s">
        <v>1731</v>
      </c>
      <c r="CH146" s="182" t="s">
        <v>1701</v>
      </c>
      <c r="CI146" s="182" t="s">
        <v>1732</v>
      </c>
      <c r="CJ146" s="182" t="s">
        <v>1726</v>
      </c>
      <c r="CK146" s="182" t="s">
        <v>1701</v>
      </c>
      <c r="CL146" s="182" t="s">
        <v>1703</v>
      </c>
      <c r="CM146" s="182" t="s">
        <v>1733</v>
      </c>
      <c r="CN146" s="182" t="s">
        <v>1701</v>
      </c>
      <c r="CO146" s="182" t="s">
        <v>606</v>
      </c>
      <c r="CP146" s="182" t="s">
        <v>1703</v>
      </c>
      <c r="CQ146" s="182" t="s">
        <v>1290</v>
      </c>
      <c r="CR146" s="182"/>
      <c r="CS146" s="182" t="s">
        <v>1715</v>
      </c>
      <c r="CT146" s="182" t="s">
        <v>524</v>
      </c>
      <c r="CU146" s="182" t="s">
        <v>1734</v>
      </c>
      <c r="CV146" s="182" t="s">
        <v>1735</v>
      </c>
      <c r="CW146" s="182"/>
      <c r="CX146" s="182" t="s">
        <v>560</v>
      </c>
      <c r="CY146" s="182" t="s">
        <v>650</v>
      </c>
      <c r="CZ146" s="182" t="s">
        <v>650</v>
      </c>
      <c r="DA146" s="182" t="s">
        <v>1715</v>
      </c>
      <c r="DB146" s="182" t="s">
        <v>623</v>
      </c>
      <c r="DC146" s="182" t="s">
        <v>623</v>
      </c>
      <c r="DD146" s="182" t="s">
        <v>623</v>
      </c>
      <c r="DE146" s="182"/>
      <c r="DF146" s="174">
        <v>3</v>
      </c>
      <c r="EE146" s="203">
        <v>2.3653999999999984</v>
      </c>
      <c r="EF146" s="174">
        <v>15</v>
      </c>
      <c r="ET146" s="174">
        <v>6</v>
      </c>
      <c r="EV146" s="174">
        <v>7</v>
      </c>
      <c r="EW146" s="174">
        <v>6</v>
      </c>
      <c r="EX146" s="174">
        <v>6</v>
      </c>
      <c r="FB146" s="174">
        <v>6</v>
      </c>
      <c r="FC146" s="174">
        <v>7</v>
      </c>
      <c r="FD146" s="174">
        <v>6</v>
      </c>
      <c r="FE146" s="174">
        <v>6</v>
      </c>
      <c r="FF146" s="174">
        <v>4</v>
      </c>
      <c r="FH146" s="174">
        <v>7</v>
      </c>
      <c r="FI146" s="174">
        <v>4</v>
      </c>
      <c r="FO146" s="174">
        <v>3</v>
      </c>
      <c r="FQ146" s="174">
        <v>6</v>
      </c>
      <c r="FR146" s="174">
        <v>4</v>
      </c>
      <c r="FZ146" s="174">
        <v>3</v>
      </c>
      <c r="GP146" s="174">
        <v>2</v>
      </c>
      <c r="GQ146" s="174">
        <v>4</v>
      </c>
      <c r="GR146" s="174">
        <v>4</v>
      </c>
      <c r="HA146" s="174">
        <v>19</v>
      </c>
      <c r="HB146" s="197">
        <v>143</v>
      </c>
      <c r="HC146" s="194">
        <v>91</v>
      </c>
      <c r="HD146" s="238">
        <v>116.5</v>
      </c>
      <c r="HE146" s="236">
        <v>25</v>
      </c>
      <c r="HF146" s="183">
        <v>208</v>
      </c>
      <c r="HG146" s="193" t="e">
        <f t="shared" si="20"/>
        <v>#N/A</v>
      </c>
      <c r="HH146" s="192" t="e">
        <f t="shared" si="21"/>
        <v>#N/A</v>
      </c>
      <c r="HI146" s="198">
        <v>25</v>
      </c>
      <c r="HJ146" s="185">
        <v>161.5</v>
      </c>
      <c r="HK146" s="174">
        <v>144</v>
      </c>
      <c r="HL146" s="174">
        <v>562</v>
      </c>
      <c r="HM146" s="174">
        <v>636</v>
      </c>
      <c r="HN146" s="174">
        <v>502</v>
      </c>
      <c r="HO146" s="174">
        <v>264</v>
      </c>
      <c r="HP146" s="174">
        <v>254</v>
      </c>
      <c r="HQ146" s="174">
        <v>244</v>
      </c>
      <c r="HR146" s="174">
        <v>234</v>
      </c>
      <c r="HS146" s="174">
        <v>502</v>
      </c>
      <c r="HT146" s="174">
        <v>492</v>
      </c>
      <c r="HU146" s="174">
        <v>244</v>
      </c>
      <c r="HV146" s="174">
        <v>358</v>
      </c>
      <c r="HW146" s="174">
        <v>234</v>
      </c>
      <c r="HX146" s="174">
        <v>224</v>
      </c>
      <c r="HY146" s="174">
        <v>214</v>
      </c>
      <c r="HZ146" s="174">
        <v>204</v>
      </c>
      <c r="IA146" s="174">
        <v>348</v>
      </c>
      <c r="IB146" s="174">
        <v>328</v>
      </c>
      <c r="IC146" s="174">
        <v>204</v>
      </c>
      <c r="ID146" s="174">
        <v>174</v>
      </c>
      <c r="IE146" s="174">
        <v>154</v>
      </c>
      <c r="IF146" s="174">
        <v>146</v>
      </c>
    </row>
    <row r="147" spans="1:240" ht="13.35" customHeight="1" thickBot="1" x14ac:dyDescent="0.25">
      <c r="A147" s="183">
        <f t="shared" si="19"/>
        <v>146</v>
      </c>
      <c r="B147" s="184">
        <f t="shared" si="16"/>
        <v>102</v>
      </c>
      <c r="C147" s="183">
        <f t="shared" si="15"/>
        <v>3226</v>
      </c>
      <c r="E147" s="207"/>
      <c r="F147" s="182" t="s">
        <v>648</v>
      </c>
      <c r="G147" s="182" t="s">
        <v>513</v>
      </c>
      <c r="H147" s="182" t="s">
        <v>1696</v>
      </c>
      <c r="I147" s="182"/>
      <c r="J147" s="182"/>
      <c r="K147" s="182" t="s">
        <v>1699</v>
      </c>
      <c r="L147" s="182" t="s">
        <v>1699</v>
      </c>
      <c r="M147" s="182" t="s">
        <v>243</v>
      </c>
      <c r="N147" s="182" t="s">
        <v>243</v>
      </c>
      <c r="O147" s="182" t="s">
        <v>554</v>
      </c>
      <c r="P147" s="182" t="s">
        <v>643</v>
      </c>
      <c r="Q147" s="182" t="s">
        <v>1137</v>
      </c>
      <c r="R147" s="182" t="s">
        <v>623</v>
      </c>
      <c r="S147" s="182" t="s">
        <v>1699</v>
      </c>
      <c r="T147" s="182"/>
      <c r="U147" s="182"/>
      <c r="V147" s="182"/>
      <c r="W147" s="182" t="s">
        <v>484</v>
      </c>
      <c r="X147" s="182"/>
      <c r="Y147" s="182"/>
      <c r="Z147" s="182"/>
      <c r="AA147" s="182"/>
      <c r="AB147" s="182"/>
      <c r="AC147" s="182"/>
      <c r="AD147" s="182"/>
      <c r="AE147" s="182"/>
      <c r="AF147" s="182" t="s">
        <v>573</v>
      </c>
      <c r="AG147" s="182" t="s">
        <v>650</v>
      </c>
      <c r="AH147" s="182"/>
      <c r="AI147" s="182"/>
      <c r="AJ147" s="182"/>
      <c r="AK147" s="182" t="s">
        <v>485</v>
      </c>
      <c r="AL147" s="182" t="s">
        <v>1736</v>
      </c>
      <c r="AM147" s="182" t="s">
        <v>494</v>
      </c>
      <c r="AN147" s="182"/>
      <c r="AO147" s="182" t="s">
        <v>1699</v>
      </c>
      <c r="AP147" s="182" t="s">
        <v>243</v>
      </c>
      <c r="AQ147" s="182"/>
      <c r="AR147" s="182"/>
      <c r="AS147" s="182"/>
      <c r="AT147" s="182" t="s">
        <v>1737</v>
      </c>
      <c r="AU147" s="182" t="s">
        <v>560</v>
      </c>
      <c r="AV147" s="182"/>
      <c r="AW147" s="182" t="s">
        <v>1726</v>
      </c>
      <c r="AX147" s="182" t="s">
        <v>1703</v>
      </c>
      <c r="AY147" s="182" t="s">
        <v>1738</v>
      </c>
      <c r="AZ147" s="182" t="s">
        <v>1739</v>
      </c>
      <c r="BA147" s="182"/>
      <c r="BB147" s="182" t="s">
        <v>1729</v>
      </c>
      <c r="BC147" s="182"/>
      <c r="BD147" s="182"/>
      <c r="BE147" s="182" t="s">
        <v>1729</v>
      </c>
      <c r="BF147" s="182" t="s">
        <v>1737</v>
      </c>
      <c r="BG147" s="182"/>
      <c r="BH147" s="182" t="s">
        <v>1740</v>
      </c>
      <c r="BI147" s="182"/>
      <c r="BJ147" s="182"/>
      <c r="BK147" s="182" t="s">
        <v>1741</v>
      </c>
      <c r="BL147" s="182" t="s">
        <v>1124</v>
      </c>
      <c r="BM147" s="182" t="s">
        <v>1703</v>
      </c>
      <c r="BN147" s="182" t="s">
        <v>480</v>
      </c>
      <c r="BO147" s="182" t="s">
        <v>1703</v>
      </c>
      <c r="BP147" s="182"/>
      <c r="BQ147" s="182"/>
      <c r="BR147" s="182" t="s">
        <v>1707</v>
      </c>
      <c r="BS147" s="182" t="s">
        <v>1742</v>
      </c>
      <c r="BT147" s="182"/>
      <c r="BU147" s="182"/>
      <c r="BV147" s="182" t="s">
        <v>1703</v>
      </c>
      <c r="BW147" s="182"/>
      <c r="BX147" s="182" t="s">
        <v>571</v>
      </c>
      <c r="BY147" s="182"/>
      <c r="BZ147" s="182" t="s">
        <v>1703</v>
      </c>
      <c r="CA147" s="182" t="s">
        <v>1217</v>
      </c>
      <c r="CB147" s="182" t="s">
        <v>634</v>
      </c>
      <c r="CC147" s="182"/>
      <c r="CD147" s="182" t="s">
        <v>1703</v>
      </c>
      <c r="CE147" s="182"/>
      <c r="CF147" s="182" t="s">
        <v>1290</v>
      </c>
      <c r="CG147" s="182" t="s">
        <v>531</v>
      </c>
      <c r="CH147" s="182"/>
      <c r="CI147" s="182" t="s">
        <v>1743</v>
      </c>
      <c r="CJ147" s="182" t="s">
        <v>1744</v>
      </c>
      <c r="CK147" s="182"/>
      <c r="CL147" s="182"/>
      <c r="CM147" s="182" t="s">
        <v>1745</v>
      </c>
      <c r="CN147" s="182" t="s">
        <v>491</v>
      </c>
      <c r="CO147" s="182" t="s">
        <v>562</v>
      </c>
      <c r="CP147" s="182" t="s">
        <v>1701</v>
      </c>
      <c r="CQ147" s="182" t="s">
        <v>1746</v>
      </c>
      <c r="CR147" s="182"/>
      <c r="CS147" s="182" t="s">
        <v>1124</v>
      </c>
      <c r="CT147" s="182" t="s">
        <v>1747</v>
      </c>
      <c r="CU147" s="182" t="s">
        <v>1748</v>
      </c>
      <c r="CV147" s="182" t="s">
        <v>548</v>
      </c>
      <c r="CW147" s="182"/>
      <c r="CX147" s="182" t="s">
        <v>561</v>
      </c>
      <c r="CY147" s="182" t="s">
        <v>243</v>
      </c>
      <c r="CZ147" s="182" t="s">
        <v>243</v>
      </c>
      <c r="DA147" s="182" t="s">
        <v>1124</v>
      </c>
      <c r="DB147" s="182" t="s">
        <v>650</v>
      </c>
      <c r="DC147" s="182" t="s">
        <v>650</v>
      </c>
      <c r="DD147" s="182" t="s">
        <v>650</v>
      </c>
      <c r="DE147" s="182"/>
      <c r="DF147" s="174">
        <v>4</v>
      </c>
      <c r="EE147" s="203">
        <v>2.3907999999999983</v>
      </c>
      <c r="EF147" s="174">
        <v>20</v>
      </c>
      <c r="ET147" s="174">
        <v>2</v>
      </c>
      <c r="FD147" s="174">
        <v>4</v>
      </c>
      <c r="FE147" s="174">
        <v>5</v>
      </c>
      <c r="FH147" s="174">
        <v>7</v>
      </c>
      <c r="GR147" s="174">
        <v>5</v>
      </c>
      <c r="HA147" s="174">
        <v>20</v>
      </c>
      <c r="HB147" s="197">
        <v>144</v>
      </c>
      <c r="HC147" s="194">
        <v>91</v>
      </c>
      <c r="HD147" s="238">
        <v>117</v>
      </c>
      <c r="HE147" s="236">
        <v>25</v>
      </c>
      <c r="HF147" s="183">
        <v>209</v>
      </c>
      <c r="HG147" s="193" t="e">
        <f t="shared" si="20"/>
        <v>#N/A</v>
      </c>
      <c r="HH147" s="192" t="e">
        <f t="shared" si="21"/>
        <v>#N/A</v>
      </c>
      <c r="HI147" s="198">
        <v>25</v>
      </c>
      <c r="HJ147" s="185">
        <v>162</v>
      </c>
      <c r="HK147" s="174">
        <v>145</v>
      </c>
      <c r="HL147" s="174">
        <v>565</v>
      </c>
      <c r="HM147" s="174">
        <v>640</v>
      </c>
      <c r="HN147" s="174">
        <v>505</v>
      </c>
      <c r="HO147" s="174">
        <v>265</v>
      </c>
      <c r="HP147" s="174">
        <v>255</v>
      </c>
      <c r="HQ147" s="174">
        <v>245</v>
      </c>
      <c r="HR147" s="174">
        <v>235</v>
      </c>
      <c r="HS147" s="174">
        <v>505</v>
      </c>
      <c r="HT147" s="174">
        <v>495</v>
      </c>
      <c r="HU147" s="174">
        <v>245</v>
      </c>
      <c r="HV147" s="174">
        <v>360</v>
      </c>
      <c r="HW147" s="174">
        <v>235</v>
      </c>
      <c r="HX147" s="174">
        <v>225</v>
      </c>
      <c r="HY147" s="174">
        <v>215</v>
      </c>
      <c r="HZ147" s="174">
        <v>205</v>
      </c>
      <c r="IA147" s="174">
        <v>350</v>
      </c>
      <c r="IB147" s="174">
        <v>330</v>
      </c>
      <c r="IC147" s="174">
        <v>205</v>
      </c>
      <c r="ID147" s="174">
        <v>175</v>
      </c>
      <c r="IE147" s="174">
        <v>155</v>
      </c>
      <c r="IF147" s="174">
        <v>147</v>
      </c>
    </row>
    <row r="148" spans="1:240" ht="13.35" customHeight="1" thickBot="1" x14ac:dyDescent="0.25">
      <c r="A148" s="183">
        <f t="shared" si="19"/>
        <v>147</v>
      </c>
      <c r="B148" s="184">
        <f t="shared" si="16"/>
        <v>104</v>
      </c>
      <c r="C148" s="183">
        <f t="shared" si="15"/>
        <v>3339</v>
      </c>
      <c r="E148" s="207"/>
      <c r="F148" s="182" t="s">
        <v>1749</v>
      </c>
      <c r="G148" s="182" t="s">
        <v>1750</v>
      </c>
      <c r="H148" s="182" t="s">
        <v>1751</v>
      </c>
      <c r="I148" s="182"/>
      <c r="J148" s="182"/>
      <c r="K148" s="182" t="s">
        <v>650</v>
      </c>
      <c r="L148" s="182"/>
      <c r="M148" s="182"/>
      <c r="N148" s="182" t="s">
        <v>619</v>
      </c>
      <c r="O148" s="182"/>
      <c r="P148" s="182" t="s">
        <v>1752</v>
      </c>
      <c r="Q148" s="182" t="s">
        <v>1752</v>
      </c>
      <c r="R148" s="182" t="s">
        <v>1699</v>
      </c>
      <c r="S148" s="182" t="s">
        <v>650</v>
      </c>
      <c r="T148" s="182"/>
      <c r="U148" s="182"/>
      <c r="V148" s="182"/>
      <c r="W148" s="182" t="s">
        <v>486</v>
      </c>
      <c r="X148" s="182"/>
      <c r="Y148" s="182"/>
      <c r="Z148" s="182"/>
      <c r="AA148" s="182"/>
      <c r="AB148" s="182"/>
      <c r="AC148" s="182"/>
      <c r="AD148" s="182"/>
      <c r="AE148" s="182"/>
      <c r="AF148" s="182"/>
      <c r="AG148" s="182"/>
      <c r="AH148" s="182"/>
      <c r="AI148" s="182"/>
      <c r="AJ148" s="182"/>
      <c r="AK148" s="182" t="s">
        <v>1699</v>
      </c>
      <c r="AL148" s="182" t="s">
        <v>485</v>
      </c>
      <c r="AM148" s="182" t="s">
        <v>619</v>
      </c>
      <c r="AN148" s="182"/>
      <c r="AO148" s="182" t="s">
        <v>650</v>
      </c>
      <c r="AP148" s="182" t="s">
        <v>619</v>
      </c>
      <c r="AQ148" s="182"/>
      <c r="AR148" s="182"/>
      <c r="AS148" s="182"/>
      <c r="AT148" s="182"/>
      <c r="AU148" s="182" t="s">
        <v>491</v>
      </c>
      <c r="AV148" s="182"/>
      <c r="AW148" s="182" t="s">
        <v>1703</v>
      </c>
      <c r="AX148" s="182"/>
      <c r="AY148" s="182"/>
      <c r="AZ148" s="182"/>
      <c r="BA148" s="182"/>
      <c r="BB148" s="182"/>
      <c r="BC148" s="182"/>
      <c r="BD148" s="182"/>
      <c r="BE148" s="182"/>
      <c r="BF148" s="182"/>
      <c r="BG148" s="182"/>
      <c r="BH148" s="182" t="s">
        <v>415</v>
      </c>
      <c r="BI148" s="182"/>
      <c r="BJ148" s="182"/>
      <c r="BK148" s="182" t="s">
        <v>1703</v>
      </c>
      <c r="BL148" s="182" t="s">
        <v>1703</v>
      </c>
      <c r="BM148" s="182" t="s">
        <v>1753</v>
      </c>
      <c r="BN148" s="182"/>
      <c r="BO148" s="182" t="s">
        <v>571</v>
      </c>
      <c r="BP148" s="182"/>
      <c r="BQ148" s="182"/>
      <c r="BR148" s="182"/>
      <c r="BS148" s="182" t="s">
        <v>1754</v>
      </c>
      <c r="BT148" s="182"/>
      <c r="BU148" s="182"/>
      <c r="BV148" s="182"/>
      <c r="BW148" s="182"/>
      <c r="BX148" s="182"/>
      <c r="BY148" s="182"/>
      <c r="BZ148" s="182"/>
      <c r="CA148" s="182" t="s">
        <v>1701</v>
      </c>
      <c r="CB148" s="182" t="s">
        <v>1290</v>
      </c>
      <c r="CC148" s="182"/>
      <c r="CD148" s="182" t="s">
        <v>682</v>
      </c>
      <c r="CE148" s="182"/>
      <c r="CF148" s="182" t="s">
        <v>1730</v>
      </c>
      <c r="CG148" s="182" t="s">
        <v>1137</v>
      </c>
      <c r="CH148" s="182"/>
      <c r="CI148" s="182" t="s">
        <v>1755</v>
      </c>
      <c r="CJ148" s="182" t="s">
        <v>1703</v>
      </c>
      <c r="CK148" s="182"/>
      <c r="CL148" s="182"/>
      <c r="CM148" s="182" t="s">
        <v>1756</v>
      </c>
      <c r="CN148" s="182" t="s">
        <v>1753</v>
      </c>
      <c r="CO148" s="182" t="s">
        <v>1703</v>
      </c>
      <c r="CP148" s="182"/>
      <c r="CQ148" s="182"/>
      <c r="CR148" s="182"/>
      <c r="CS148" s="182" t="s">
        <v>616</v>
      </c>
      <c r="CT148" s="182"/>
      <c r="CU148" s="182"/>
      <c r="CV148" s="182"/>
      <c r="CW148" s="182"/>
      <c r="CX148" s="182" t="s">
        <v>1757</v>
      </c>
      <c r="CY148" s="182"/>
      <c r="CZ148" s="182" t="s">
        <v>1703</v>
      </c>
      <c r="DA148" s="182" t="s">
        <v>616</v>
      </c>
      <c r="DB148" s="182" t="s">
        <v>570</v>
      </c>
      <c r="DC148" s="182" t="s">
        <v>243</v>
      </c>
      <c r="DD148" s="182" t="s">
        <v>485</v>
      </c>
      <c r="DE148" s="182"/>
      <c r="DF148" s="174">
        <v>5</v>
      </c>
      <c r="EE148" s="203">
        <v>2.4161999999999981</v>
      </c>
      <c r="EF148" s="174">
        <v>20</v>
      </c>
      <c r="ET148" s="174">
        <v>2</v>
      </c>
      <c r="FD148" s="174">
        <v>3</v>
      </c>
      <c r="FE148" s="174">
        <v>4</v>
      </c>
      <c r="FH148" s="174">
        <v>7</v>
      </c>
      <c r="GR148" s="174">
        <v>4</v>
      </c>
      <c r="HA148" s="174">
        <v>21</v>
      </c>
      <c r="HB148" s="197">
        <v>145</v>
      </c>
      <c r="HC148" s="194">
        <v>92</v>
      </c>
      <c r="HD148" s="238">
        <v>117.5</v>
      </c>
      <c r="HE148" s="236">
        <v>25</v>
      </c>
      <c r="HF148" s="183">
        <v>210</v>
      </c>
      <c r="HG148" s="193" t="e">
        <f t="shared" si="20"/>
        <v>#N/A</v>
      </c>
      <c r="HH148" s="192" t="e">
        <f t="shared" si="21"/>
        <v>#N/A</v>
      </c>
      <c r="HI148" s="198">
        <v>25</v>
      </c>
      <c r="HJ148" s="185">
        <v>162.5</v>
      </c>
      <c r="HK148" s="174">
        <v>146</v>
      </c>
      <c r="HL148" s="174">
        <v>568</v>
      </c>
      <c r="HM148" s="174">
        <v>644</v>
      </c>
      <c r="HN148" s="174">
        <v>508</v>
      </c>
      <c r="HO148" s="174">
        <v>266</v>
      </c>
      <c r="HP148" s="174">
        <v>256</v>
      </c>
      <c r="HQ148" s="174">
        <v>246</v>
      </c>
      <c r="HR148" s="174">
        <v>236</v>
      </c>
      <c r="HS148" s="174">
        <v>508</v>
      </c>
      <c r="HT148" s="174">
        <v>498</v>
      </c>
      <c r="HU148" s="174">
        <v>246</v>
      </c>
      <c r="HV148" s="174">
        <v>362</v>
      </c>
      <c r="HW148" s="174">
        <v>236</v>
      </c>
      <c r="HX148" s="174">
        <v>226</v>
      </c>
      <c r="HY148" s="174">
        <v>216</v>
      </c>
      <c r="HZ148" s="174">
        <v>206</v>
      </c>
      <c r="IA148" s="174">
        <v>352</v>
      </c>
      <c r="IB148" s="174">
        <v>332</v>
      </c>
      <c r="IC148" s="174">
        <v>206</v>
      </c>
      <c r="ID148" s="174">
        <v>176</v>
      </c>
      <c r="IE148" s="174">
        <v>156</v>
      </c>
      <c r="IF148" s="174">
        <v>148</v>
      </c>
    </row>
    <row r="149" spans="1:240" ht="13.35" customHeight="1" thickBot="1" x14ac:dyDescent="0.25">
      <c r="A149" s="183">
        <f t="shared" si="19"/>
        <v>148</v>
      </c>
      <c r="B149" s="184">
        <f t="shared" si="16"/>
        <v>106</v>
      </c>
      <c r="C149" s="183">
        <f t="shared" si="15"/>
        <v>3454</v>
      </c>
      <c r="E149" s="207"/>
      <c r="F149" s="182" t="s">
        <v>587</v>
      </c>
      <c r="G149" s="182"/>
      <c r="H149" s="182"/>
      <c r="I149" s="182"/>
      <c r="J149" s="182"/>
      <c r="K149" s="182"/>
      <c r="L149" s="182"/>
      <c r="M149" s="182"/>
      <c r="N149" s="182"/>
      <c r="O149" s="182"/>
      <c r="P149" s="182" t="s">
        <v>1758</v>
      </c>
      <c r="Q149" s="182" t="s">
        <v>1124</v>
      </c>
      <c r="R149" s="182" t="s">
        <v>650</v>
      </c>
      <c r="S149" s="182" t="s">
        <v>243</v>
      </c>
      <c r="T149" s="182"/>
      <c r="U149" s="182"/>
      <c r="V149" s="182"/>
      <c r="W149" s="182"/>
      <c r="X149" s="182"/>
      <c r="Y149" s="182"/>
      <c r="Z149" s="182"/>
      <c r="AA149" s="182"/>
      <c r="AB149" s="182"/>
      <c r="AC149" s="182"/>
      <c r="AD149" s="182"/>
      <c r="AE149" s="182"/>
      <c r="AF149" s="182"/>
      <c r="AG149" s="182"/>
      <c r="AH149" s="182"/>
      <c r="AI149" s="182"/>
      <c r="AJ149" s="182"/>
      <c r="AK149" s="182" t="s">
        <v>710</v>
      </c>
      <c r="AL149" s="182" t="s">
        <v>1759</v>
      </c>
      <c r="AM149" s="182" t="s">
        <v>1736</v>
      </c>
      <c r="AN149" s="182"/>
      <c r="AO149" s="182" t="s">
        <v>243</v>
      </c>
      <c r="AP149" s="182" t="s">
        <v>1703</v>
      </c>
      <c r="AQ149" s="182"/>
      <c r="AR149" s="182"/>
      <c r="AS149" s="182"/>
      <c r="AT149" s="182"/>
      <c r="AU149" s="182" t="s">
        <v>1753</v>
      </c>
      <c r="AV149" s="182"/>
      <c r="AW149" s="182"/>
      <c r="AX149" s="182"/>
      <c r="AY149" s="182"/>
      <c r="AZ149" s="182"/>
      <c r="BA149" s="182"/>
      <c r="BB149" s="182"/>
      <c r="BC149" s="182"/>
      <c r="BD149" s="182"/>
      <c r="BE149" s="182"/>
      <c r="BF149" s="182"/>
      <c r="BG149" s="182"/>
      <c r="BH149" s="182" t="s">
        <v>1129</v>
      </c>
      <c r="BI149" s="182"/>
      <c r="BJ149" s="182"/>
      <c r="BK149" s="182"/>
      <c r="BL149" s="182"/>
      <c r="BM149" s="182" t="s">
        <v>560</v>
      </c>
      <c r="BN149" s="182"/>
      <c r="BO149" s="182"/>
      <c r="BP149" s="182"/>
      <c r="BQ149" s="182"/>
      <c r="BR149" s="182"/>
      <c r="BS149" s="182"/>
      <c r="BT149" s="182"/>
      <c r="BU149" s="182"/>
      <c r="BV149" s="182"/>
      <c r="BW149" s="182"/>
      <c r="BX149" s="182"/>
      <c r="BY149" s="182"/>
      <c r="BZ149" s="182"/>
      <c r="CA149" s="182" t="s">
        <v>1703</v>
      </c>
      <c r="CB149" s="182"/>
      <c r="CC149" s="182"/>
      <c r="CD149" s="182" t="s">
        <v>1760</v>
      </c>
      <c r="CE149" s="182"/>
      <c r="CF149" s="182"/>
      <c r="CG149" s="182" t="s">
        <v>561</v>
      </c>
      <c r="CH149" s="182"/>
      <c r="CI149" s="182"/>
      <c r="CJ149" s="182" t="s">
        <v>571</v>
      </c>
      <c r="CK149" s="182"/>
      <c r="CL149" s="182"/>
      <c r="CM149" s="182"/>
      <c r="CN149" s="182"/>
      <c r="CO149" s="182" t="s">
        <v>1761</v>
      </c>
      <c r="CP149" s="182"/>
      <c r="CQ149" s="182"/>
      <c r="CR149" s="182"/>
      <c r="CS149" s="182"/>
      <c r="CT149" s="182"/>
      <c r="CU149" s="182"/>
      <c r="CV149" s="182"/>
      <c r="CW149" s="182"/>
      <c r="CX149" s="182" t="s">
        <v>1762</v>
      </c>
      <c r="CY149" s="182"/>
      <c r="CZ149" s="182" t="s">
        <v>619</v>
      </c>
      <c r="DA149" s="182"/>
      <c r="DB149" s="182"/>
      <c r="DC149" s="182"/>
      <c r="DD149" s="182"/>
      <c r="DE149" s="182"/>
      <c r="DF149" s="174">
        <v>6</v>
      </c>
      <c r="EE149" s="203">
        <v>2.441599999999998</v>
      </c>
      <c r="EF149" s="174">
        <v>20</v>
      </c>
      <c r="ET149" s="174">
        <v>0</v>
      </c>
      <c r="HA149" s="174">
        <v>22</v>
      </c>
      <c r="HB149" s="197">
        <v>146</v>
      </c>
      <c r="HC149" s="194">
        <v>92</v>
      </c>
      <c r="HD149" s="238">
        <v>118</v>
      </c>
      <c r="HE149" s="236">
        <v>25</v>
      </c>
      <c r="HF149" s="183">
        <v>211</v>
      </c>
      <c r="HG149" s="193" t="e">
        <f t="shared" si="20"/>
        <v>#N/A</v>
      </c>
      <c r="HH149" s="192" t="e">
        <f t="shared" si="21"/>
        <v>#N/A</v>
      </c>
      <c r="HI149" s="198">
        <v>25</v>
      </c>
      <c r="HJ149" s="185">
        <v>163</v>
      </c>
      <c r="HK149" s="174">
        <v>147</v>
      </c>
      <c r="HL149" s="174">
        <v>571</v>
      </c>
      <c r="HM149" s="174">
        <v>648</v>
      </c>
      <c r="HN149" s="174">
        <v>511</v>
      </c>
      <c r="HO149" s="174">
        <v>267</v>
      </c>
      <c r="HP149" s="174">
        <v>257</v>
      </c>
      <c r="HQ149" s="174">
        <v>247</v>
      </c>
      <c r="HR149" s="174">
        <v>237</v>
      </c>
      <c r="HS149" s="174">
        <v>511</v>
      </c>
      <c r="HT149" s="174">
        <v>501</v>
      </c>
      <c r="HU149" s="174">
        <v>247</v>
      </c>
      <c r="HV149" s="174">
        <v>364</v>
      </c>
      <c r="HW149" s="174">
        <v>237</v>
      </c>
      <c r="HX149" s="174">
        <v>227</v>
      </c>
      <c r="HY149" s="174">
        <v>217</v>
      </c>
      <c r="HZ149" s="174">
        <v>207</v>
      </c>
      <c r="IA149" s="174">
        <v>354</v>
      </c>
      <c r="IB149" s="174">
        <v>334</v>
      </c>
      <c r="IC149" s="174">
        <v>207</v>
      </c>
      <c r="ID149" s="174">
        <v>177</v>
      </c>
      <c r="IE149" s="174">
        <v>157</v>
      </c>
      <c r="IF149" s="174">
        <v>149</v>
      </c>
    </row>
    <row r="150" spans="1:240" ht="13.35" customHeight="1" thickBot="1" x14ac:dyDescent="0.25">
      <c r="A150" s="183">
        <f t="shared" si="19"/>
        <v>149</v>
      </c>
      <c r="B150" s="184">
        <f t="shared" si="16"/>
        <v>108</v>
      </c>
      <c r="C150" s="183">
        <f t="shared" si="15"/>
        <v>3571</v>
      </c>
      <c r="E150" s="207"/>
      <c r="F150" s="182" t="s">
        <v>599</v>
      </c>
      <c r="G150" s="182"/>
      <c r="H150" s="182"/>
      <c r="I150" s="182"/>
      <c r="J150" s="182"/>
      <c r="K150" s="182"/>
      <c r="L150" s="182"/>
      <c r="M150" s="182"/>
      <c r="N150" s="182"/>
      <c r="O150" s="182"/>
      <c r="P150" s="182"/>
      <c r="Q150" s="182" t="s">
        <v>1758</v>
      </c>
      <c r="R150" s="182"/>
      <c r="S150" s="182" t="s">
        <v>619</v>
      </c>
      <c r="T150" s="182"/>
      <c r="U150" s="182"/>
      <c r="V150" s="182"/>
      <c r="W150" s="182"/>
      <c r="X150" s="182"/>
      <c r="Y150" s="182"/>
      <c r="Z150" s="182"/>
      <c r="AA150" s="182"/>
      <c r="AB150" s="182"/>
      <c r="AC150" s="182"/>
      <c r="AD150" s="182"/>
      <c r="AE150" s="182"/>
      <c r="AF150" s="182"/>
      <c r="AG150" s="182"/>
      <c r="AH150" s="182"/>
      <c r="AI150" s="182"/>
      <c r="AJ150" s="182"/>
      <c r="AK150" s="182"/>
      <c r="AL150" s="182" t="s">
        <v>505</v>
      </c>
      <c r="AM150" s="182" t="s">
        <v>1763</v>
      </c>
      <c r="AN150" s="182"/>
      <c r="AO150" s="182" t="s">
        <v>1764</v>
      </c>
      <c r="AP150" s="182"/>
      <c r="AQ150" s="182"/>
      <c r="AR150" s="182"/>
      <c r="AS150" s="182"/>
      <c r="AT150" s="182"/>
      <c r="AU150" s="182"/>
      <c r="AV150" s="182"/>
      <c r="AW150" s="182"/>
      <c r="AX150" s="182"/>
      <c r="AY150" s="182"/>
      <c r="AZ150" s="182"/>
      <c r="BA150" s="182"/>
      <c r="BB150" s="182"/>
      <c r="BC150" s="182"/>
      <c r="BD150" s="182"/>
      <c r="BE150" s="182"/>
      <c r="BF150" s="182"/>
      <c r="BG150" s="182"/>
      <c r="BH150" s="182" t="s">
        <v>1703</v>
      </c>
      <c r="BI150" s="182"/>
      <c r="BJ150" s="182"/>
      <c r="BK150" s="182"/>
      <c r="BL150" s="182"/>
      <c r="BM150" s="182" t="s">
        <v>447</v>
      </c>
      <c r="BN150" s="182"/>
      <c r="BO150" s="182"/>
      <c r="BP150" s="182"/>
      <c r="BQ150" s="182"/>
      <c r="BR150" s="182"/>
      <c r="BS150" s="182"/>
      <c r="BT150" s="182"/>
      <c r="BU150" s="182"/>
      <c r="BV150" s="182"/>
      <c r="BW150" s="182"/>
      <c r="BX150" s="182"/>
      <c r="BY150" s="182"/>
      <c r="BZ150" s="182"/>
      <c r="CA150" s="182"/>
      <c r="CB150" s="182"/>
      <c r="CC150" s="182"/>
      <c r="CD150" s="182" t="s">
        <v>1765</v>
      </c>
      <c r="CE150" s="182"/>
      <c r="CF150" s="182"/>
      <c r="CG150" s="182" t="s">
        <v>1766</v>
      </c>
      <c r="CH150" s="182"/>
      <c r="CI150" s="182"/>
      <c r="CJ150" s="182" t="s">
        <v>1701</v>
      </c>
      <c r="CK150" s="182"/>
      <c r="CL150" s="182"/>
      <c r="CM150" s="182"/>
      <c r="CN150" s="182"/>
      <c r="CO150" s="182" t="s">
        <v>530</v>
      </c>
      <c r="CP150" s="182"/>
      <c r="CQ150" s="182"/>
      <c r="CR150" s="182"/>
      <c r="CS150" s="182"/>
      <c r="CT150" s="182"/>
      <c r="CU150" s="182"/>
      <c r="CV150" s="182"/>
      <c r="CW150" s="182"/>
      <c r="CX150" s="182"/>
      <c r="CY150" s="182"/>
      <c r="CZ150" s="182"/>
      <c r="DA150" s="182"/>
      <c r="DB150" s="182"/>
      <c r="DC150" s="182"/>
      <c r="DD150" s="182"/>
      <c r="DE150" s="182"/>
      <c r="DF150" s="174">
        <v>7</v>
      </c>
      <c r="EE150" s="203">
        <v>2.4669999999999979</v>
      </c>
      <c r="EF150" s="174">
        <v>20</v>
      </c>
      <c r="ET150" s="174">
        <v>0</v>
      </c>
      <c r="HA150" s="174">
        <v>23</v>
      </c>
      <c r="HB150" s="197">
        <v>147</v>
      </c>
      <c r="HC150" s="194">
        <v>93</v>
      </c>
      <c r="HD150" s="238">
        <v>118.5</v>
      </c>
      <c r="HE150" s="236">
        <v>25</v>
      </c>
      <c r="HF150" s="183">
        <v>212</v>
      </c>
      <c r="HG150" s="193" t="e">
        <f t="shared" si="20"/>
        <v>#N/A</v>
      </c>
      <c r="HH150" s="192" t="e">
        <f t="shared" si="21"/>
        <v>#N/A</v>
      </c>
      <c r="HI150" s="198">
        <v>25</v>
      </c>
      <c r="HJ150" s="185">
        <v>163.5</v>
      </c>
      <c r="HK150" s="174">
        <v>148</v>
      </c>
      <c r="HL150" s="174">
        <v>574</v>
      </c>
      <c r="HM150" s="174">
        <v>652</v>
      </c>
      <c r="HN150" s="174">
        <v>514</v>
      </c>
      <c r="HO150" s="174">
        <v>268</v>
      </c>
      <c r="HP150" s="174">
        <v>258</v>
      </c>
      <c r="HQ150" s="174">
        <v>248</v>
      </c>
      <c r="HR150" s="174">
        <v>238</v>
      </c>
      <c r="HS150" s="174">
        <v>514</v>
      </c>
      <c r="HT150" s="174">
        <v>504</v>
      </c>
      <c r="HU150" s="174">
        <v>248</v>
      </c>
      <c r="HV150" s="174">
        <v>366</v>
      </c>
      <c r="HW150" s="174">
        <v>238</v>
      </c>
      <c r="HX150" s="174">
        <v>228</v>
      </c>
      <c r="HY150" s="174">
        <v>218</v>
      </c>
      <c r="HZ150" s="174">
        <v>208</v>
      </c>
      <c r="IA150" s="174">
        <v>356</v>
      </c>
      <c r="IB150" s="174">
        <v>336</v>
      </c>
      <c r="IC150" s="174">
        <v>208</v>
      </c>
      <c r="ID150" s="174">
        <v>178</v>
      </c>
      <c r="IE150" s="174">
        <v>158</v>
      </c>
      <c r="IF150" s="174">
        <v>150</v>
      </c>
    </row>
    <row r="151" spans="1:240" ht="13.35" customHeight="1" thickBot="1" x14ac:dyDescent="0.25">
      <c r="A151" s="183">
        <f t="shared" si="19"/>
        <v>150</v>
      </c>
      <c r="B151" s="184">
        <f t="shared" si="16"/>
        <v>110</v>
      </c>
      <c r="C151" s="183">
        <f t="shared" si="15"/>
        <v>3690</v>
      </c>
      <c r="E151" s="207"/>
      <c r="F151" s="182"/>
      <c r="G151" s="182"/>
      <c r="H151" s="182"/>
      <c r="I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182"/>
      <c r="AE151" s="182"/>
      <c r="AF151" s="182"/>
      <c r="AG151" s="182"/>
      <c r="AH151" s="182"/>
      <c r="AI151" s="182"/>
      <c r="AJ151" s="182"/>
      <c r="AK151" s="182"/>
      <c r="AL151" s="182"/>
      <c r="AM151" s="182" t="s">
        <v>505</v>
      </c>
      <c r="AN151" s="182"/>
      <c r="AO151" s="182"/>
      <c r="AP151" s="182"/>
      <c r="AQ151" s="182"/>
      <c r="AR151" s="182"/>
      <c r="AS151" s="182"/>
      <c r="AT151" s="182"/>
      <c r="AU151" s="182"/>
      <c r="AV151" s="182"/>
      <c r="AW151" s="182"/>
      <c r="AX151" s="182"/>
      <c r="AY151" s="182"/>
      <c r="AZ151" s="182"/>
      <c r="BA151" s="182"/>
      <c r="BB151" s="182"/>
      <c r="BC151" s="182"/>
      <c r="BD151" s="182"/>
      <c r="BE151" s="182"/>
      <c r="BF151" s="182"/>
      <c r="BG151" s="182"/>
      <c r="BH151" s="182"/>
      <c r="BI151" s="182"/>
      <c r="BJ151" s="182"/>
      <c r="BK151" s="182"/>
      <c r="BL151" s="182"/>
      <c r="BM151" s="182" t="s">
        <v>1384</v>
      </c>
      <c r="BN151" s="182"/>
      <c r="BO151" s="182"/>
      <c r="BP151" s="182"/>
      <c r="BQ151" s="182"/>
      <c r="BR151" s="182"/>
      <c r="BS151" s="182"/>
      <c r="BT151" s="182"/>
      <c r="BU151" s="182"/>
      <c r="BV151" s="182"/>
      <c r="BW151" s="182"/>
      <c r="BX151" s="182"/>
      <c r="BY151" s="182"/>
      <c r="BZ151" s="182"/>
      <c r="CA151" s="182"/>
      <c r="CB151" s="182"/>
      <c r="CC151" s="182"/>
      <c r="CD151" s="182"/>
      <c r="CE151" s="182"/>
      <c r="CF151" s="182"/>
      <c r="CG151" s="182" t="s">
        <v>1703</v>
      </c>
      <c r="CH151" s="182"/>
      <c r="CI151" s="182"/>
      <c r="CJ151" s="182"/>
      <c r="CK151" s="182"/>
      <c r="CL151" s="182"/>
      <c r="CM151" s="182"/>
      <c r="CN151" s="182"/>
      <c r="CO151" s="182" t="s">
        <v>1135</v>
      </c>
      <c r="CP151" s="182"/>
      <c r="CQ151" s="182"/>
      <c r="CR151" s="182"/>
      <c r="CS151" s="182"/>
      <c r="CT151" s="182"/>
      <c r="CU151" s="182"/>
      <c r="CV151" s="182"/>
      <c r="CW151" s="182"/>
      <c r="CX151" s="182"/>
      <c r="CY151" s="182"/>
      <c r="CZ151" s="182"/>
      <c r="DA151" s="182"/>
      <c r="DB151" s="182"/>
      <c r="DC151" s="182"/>
      <c r="DD151" s="182"/>
      <c r="DE151" s="182"/>
      <c r="DF151" s="174">
        <v>8</v>
      </c>
      <c r="EE151" s="203">
        <v>2.4923999999999977</v>
      </c>
      <c r="EF151" s="174">
        <v>20</v>
      </c>
      <c r="ET151" s="174">
        <v>0</v>
      </c>
      <c r="HA151" s="174">
        <v>24</v>
      </c>
      <c r="HB151" s="197">
        <v>148</v>
      </c>
      <c r="HC151" s="194">
        <v>93</v>
      </c>
      <c r="HD151" s="238">
        <v>119</v>
      </c>
      <c r="HE151" s="236">
        <v>25</v>
      </c>
      <c r="HF151" s="183">
        <v>213</v>
      </c>
      <c r="HG151" s="193" t="e">
        <f t="shared" si="20"/>
        <v>#N/A</v>
      </c>
      <c r="HH151" s="192" t="e">
        <f t="shared" si="21"/>
        <v>#N/A</v>
      </c>
      <c r="HI151" s="198">
        <v>25</v>
      </c>
      <c r="HJ151" s="185">
        <v>164</v>
      </c>
      <c r="HK151" s="174">
        <v>149</v>
      </c>
      <c r="HL151" s="174">
        <v>577</v>
      </c>
      <c r="HM151" s="174">
        <v>656</v>
      </c>
      <c r="HN151" s="174">
        <v>517</v>
      </c>
      <c r="HO151" s="174">
        <v>269</v>
      </c>
      <c r="HP151" s="174">
        <v>259</v>
      </c>
      <c r="HQ151" s="174">
        <v>249</v>
      </c>
      <c r="HR151" s="174">
        <v>239</v>
      </c>
      <c r="HS151" s="174">
        <v>517</v>
      </c>
      <c r="HT151" s="174">
        <v>507</v>
      </c>
      <c r="HU151" s="174">
        <v>249</v>
      </c>
      <c r="HV151" s="174">
        <v>368</v>
      </c>
      <c r="HW151" s="174">
        <v>239</v>
      </c>
      <c r="HX151" s="174">
        <v>229</v>
      </c>
      <c r="HY151" s="174">
        <v>219</v>
      </c>
      <c r="HZ151" s="174">
        <v>209</v>
      </c>
      <c r="IA151" s="174">
        <v>358</v>
      </c>
      <c r="IB151" s="174">
        <v>338</v>
      </c>
      <c r="IC151" s="174">
        <v>209</v>
      </c>
      <c r="ID151" s="174">
        <v>179</v>
      </c>
      <c r="IE151" s="174">
        <v>159</v>
      </c>
      <c r="IF151" s="174">
        <v>151</v>
      </c>
    </row>
    <row r="152" spans="1:240" ht="13.35" customHeight="1" thickBot="1" x14ac:dyDescent="0.25">
      <c r="A152" s="183">
        <v>1</v>
      </c>
      <c r="B152" s="183">
        <f>A152+1</f>
        <v>2</v>
      </c>
      <c r="C152" s="183">
        <f>B152+1</f>
        <v>3</v>
      </c>
      <c r="E152" s="207"/>
      <c r="F152" s="182"/>
      <c r="G152" s="182"/>
      <c r="H152" s="182"/>
      <c r="I152" s="182"/>
      <c r="J152" s="182"/>
      <c r="K152" s="182"/>
      <c r="L152" s="182"/>
      <c r="M152" s="182"/>
      <c r="N152" s="182"/>
      <c r="O152" s="182"/>
      <c r="P152" s="182"/>
      <c r="Q152" s="182"/>
      <c r="R152" s="182"/>
      <c r="S152" s="182"/>
      <c r="T152" s="182"/>
      <c r="U152" s="182"/>
      <c r="V152" s="182"/>
      <c r="W152" s="182"/>
      <c r="X152" s="182"/>
      <c r="Y152" s="182"/>
      <c r="Z152" s="182"/>
      <c r="AA152" s="182"/>
      <c r="AB152" s="182"/>
      <c r="AC152" s="182"/>
      <c r="AD152" s="182"/>
      <c r="AE152" s="182"/>
      <c r="AF152" s="182"/>
      <c r="AG152" s="182"/>
      <c r="AH152" s="182"/>
      <c r="AI152" s="182"/>
      <c r="AJ152" s="182"/>
      <c r="AK152" s="182"/>
      <c r="AL152" s="182"/>
      <c r="AM152" s="182"/>
      <c r="AN152" s="182"/>
      <c r="AO152" s="182"/>
      <c r="AP152" s="182"/>
      <c r="AQ152" s="182"/>
      <c r="AR152" s="182"/>
      <c r="AS152" s="182" t="s">
        <v>1767</v>
      </c>
      <c r="AT152" s="182" t="s">
        <v>1768</v>
      </c>
      <c r="AU152" s="182" t="s">
        <v>1769</v>
      </c>
      <c r="AV152" s="182" t="s">
        <v>1770</v>
      </c>
      <c r="AW152" s="182" t="s">
        <v>248</v>
      </c>
      <c r="AX152" s="182" t="s">
        <v>1771</v>
      </c>
      <c r="AY152" s="182" t="s">
        <v>1772</v>
      </c>
      <c r="AZ152" s="182" t="s">
        <v>1773</v>
      </c>
      <c r="BA152" s="182" t="s">
        <v>1774</v>
      </c>
      <c r="BB152" s="182" t="s">
        <v>1775</v>
      </c>
      <c r="BC152" s="182" t="s">
        <v>1768</v>
      </c>
      <c r="BD152" s="182" t="s">
        <v>1776</v>
      </c>
      <c r="BE152" s="182" t="s">
        <v>1777</v>
      </c>
      <c r="BF152" s="182" t="s">
        <v>1778</v>
      </c>
      <c r="BG152" s="182" t="s">
        <v>1776</v>
      </c>
      <c r="BH152" s="182" t="s">
        <v>1769</v>
      </c>
      <c r="BI152" s="182" t="s">
        <v>1779</v>
      </c>
      <c r="BJ152" s="182" t="s">
        <v>248</v>
      </c>
      <c r="BK152" s="182" t="s">
        <v>248</v>
      </c>
      <c r="BL152" s="182" t="s">
        <v>1780</v>
      </c>
      <c r="BM152" s="182" t="s">
        <v>1781</v>
      </c>
      <c r="BN152" s="182" t="s">
        <v>1774</v>
      </c>
      <c r="BO152" s="182" t="s">
        <v>1782</v>
      </c>
      <c r="BP152" s="182" t="s">
        <v>1774</v>
      </c>
      <c r="BQ152" s="182" t="s">
        <v>1774</v>
      </c>
      <c r="BR152" s="182" t="s">
        <v>1774</v>
      </c>
      <c r="BS152" s="182" t="s">
        <v>1774</v>
      </c>
      <c r="BT152" s="182" t="s">
        <v>248</v>
      </c>
      <c r="BU152" s="182" t="s">
        <v>248</v>
      </c>
      <c r="BV152" s="182" t="s">
        <v>1783</v>
      </c>
      <c r="BW152" s="182" t="s">
        <v>248</v>
      </c>
      <c r="BX152" s="182" t="s">
        <v>1782</v>
      </c>
      <c r="BY152" s="182" t="s">
        <v>248</v>
      </c>
      <c r="BZ152" s="182" t="s">
        <v>1784</v>
      </c>
      <c r="CA152" s="182" t="s">
        <v>1785</v>
      </c>
      <c r="CB152" s="182" t="s">
        <v>248</v>
      </c>
      <c r="CC152" s="182" t="s">
        <v>1774</v>
      </c>
      <c r="CD152" s="182" t="s">
        <v>1786</v>
      </c>
      <c r="CE152" s="182" t="s">
        <v>248</v>
      </c>
      <c r="CF152" s="182" t="s">
        <v>1774</v>
      </c>
      <c r="CG152" s="182" t="s">
        <v>1787</v>
      </c>
      <c r="CH152" s="182" t="s">
        <v>248</v>
      </c>
      <c r="CI152" s="182" t="s">
        <v>1768</v>
      </c>
      <c r="CJ152" s="182" t="s">
        <v>1788</v>
      </c>
      <c r="CK152" s="182" t="s">
        <v>248</v>
      </c>
      <c r="CL152" s="182" t="s">
        <v>1789</v>
      </c>
      <c r="CM152" s="182"/>
      <c r="CN152" s="182" t="s">
        <v>1790</v>
      </c>
      <c r="CO152" s="182" t="s">
        <v>605</v>
      </c>
      <c r="CP152" s="182" t="s">
        <v>1791</v>
      </c>
      <c r="CQ152" s="182" t="s">
        <v>1792</v>
      </c>
      <c r="CR152" s="182"/>
      <c r="CS152" s="182"/>
      <c r="CT152" s="182"/>
      <c r="CU152" s="182"/>
      <c r="CV152" s="182"/>
      <c r="CW152" s="182"/>
      <c r="CX152" s="182"/>
      <c r="CY152" s="182"/>
      <c r="CZ152" s="182"/>
      <c r="DA152" s="182"/>
      <c r="DB152" s="182"/>
      <c r="DC152" s="182"/>
      <c r="DD152" s="182"/>
      <c r="DE152" s="182"/>
      <c r="DF152" s="174">
        <v>9</v>
      </c>
      <c r="EE152" s="203">
        <v>2.5177999999999976</v>
      </c>
      <c r="EF152" s="174">
        <v>20</v>
      </c>
      <c r="ET152" s="174">
        <v>0</v>
      </c>
      <c r="HA152" s="174">
        <v>25</v>
      </c>
      <c r="HB152" s="197">
        <v>149</v>
      </c>
      <c r="HC152" s="194">
        <v>94</v>
      </c>
      <c r="HD152" s="238">
        <v>119.5</v>
      </c>
      <c r="HE152" s="236">
        <v>25</v>
      </c>
      <c r="HF152" s="183">
        <v>214</v>
      </c>
      <c r="HG152" s="193" t="e">
        <f t="shared" si="20"/>
        <v>#N/A</v>
      </c>
      <c r="HH152" s="192" t="e">
        <f t="shared" si="21"/>
        <v>#N/A</v>
      </c>
      <c r="HI152" s="198">
        <v>25</v>
      </c>
      <c r="HJ152" s="185">
        <v>164.5</v>
      </c>
      <c r="HK152" s="182">
        <v>150</v>
      </c>
      <c r="HL152" s="182">
        <v>580</v>
      </c>
      <c r="HM152" s="182">
        <v>660</v>
      </c>
      <c r="HN152" s="182">
        <v>520</v>
      </c>
      <c r="HO152" s="182">
        <v>270</v>
      </c>
      <c r="HP152" s="182">
        <v>260</v>
      </c>
      <c r="HQ152" s="182">
        <v>250</v>
      </c>
      <c r="HR152" s="182">
        <v>240</v>
      </c>
      <c r="HS152" s="174">
        <v>520</v>
      </c>
      <c r="HT152" s="174">
        <v>510</v>
      </c>
      <c r="HU152" s="182">
        <v>250</v>
      </c>
      <c r="HV152" s="182">
        <v>370</v>
      </c>
      <c r="HW152" s="182">
        <v>240</v>
      </c>
      <c r="HX152" s="182">
        <v>230</v>
      </c>
      <c r="HY152" s="182">
        <v>220</v>
      </c>
      <c r="HZ152" s="182">
        <v>210</v>
      </c>
      <c r="IA152" s="174">
        <v>360</v>
      </c>
      <c r="IB152" s="182">
        <v>340</v>
      </c>
      <c r="IC152" s="182">
        <v>210</v>
      </c>
      <c r="ID152" s="182">
        <v>180</v>
      </c>
      <c r="IE152" s="182">
        <v>160</v>
      </c>
      <c r="IF152" s="182">
        <v>152</v>
      </c>
    </row>
    <row r="153" spans="1:240" ht="13.35" customHeight="1" thickBot="1" x14ac:dyDescent="0.25">
      <c r="E153" s="207"/>
      <c r="F153" s="182"/>
      <c r="G153" s="182"/>
      <c r="H153" s="182"/>
      <c r="I153" s="182"/>
      <c r="J153" s="182"/>
      <c r="K153" s="182"/>
      <c r="L153" s="182"/>
      <c r="M153" s="182"/>
      <c r="N153" s="182"/>
      <c r="O153" s="182"/>
      <c r="P153" s="182"/>
      <c r="Q153" s="182"/>
      <c r="R153" s="182"/>
      <c r="S153" s="182"/>
      <c r="T153" s="182"/>
      <c r="U153" s="182"/>
      <c r="V153" s="182"/>
      <c r="W153" s="182"/>
      <c r="X153" s="182"/>
      <c r="Y153" s="182"/>
      <c r="Z153" s="182"/>
      <c r="AA153" s="182"/>
      <c r="AB153" s="182"/>
      <c r="AC153" s="182"/>
      <c r="AD153" s="182"/>
      <c r="AE153" s="182"/>
      <c r="AF153" s="182"/>
      <c r="AG153" s="182"/>
      <c r="AH153" s="182"/>
      <c r="AI153" s="182"/>
      <c r="AJ153" s="182"/>
      <c r="AK153" s="182"/>
      <c r="AL153" s="182"/>
      <c r="AM153" s="182"/>
      <c r="AN153" s="182"/>
      <c r="AO153" s="182"/>
      <c r="AP153" s="182"/>
      <c r="AQ153" s="182"/>
      <c r="AR153" s="182"/>
      <c r="AS153" s="182"/>
      <c r="AT153" s="182"/>
      <c r="AU153" s="182" t="s">
        <v>1793</v>
      </c>
      <c r="AV153" s="182"/>
      <c r="AW153" s="182"/>
      <c r="AX153" s="182"/>
      <c r="AY153" s="182"/>
      <c r="AZ153" s="182" t="s">
        <v>1794</v>
      </c>
      <c r="BA153" s="182"/>
      <c r="BB153" s="182" t="s">
        <v>1795</v>
      </c>
      <c r="BC153" s="182"/>
      <c r="BD153" s="182"/>
      <c r="BE153" s="182" t="s">
        <v>1796</v>
      </c>
      <c r="BF153" s="182"/>
      <c r="BG153" s="182"/>
      <c r="BH153" s="182" t="s">
        <v>1774</v>
      </c>
      <c r="BI153" s="182"/>
      <c r="BJ153" s="182"/>
      <c r="BK153" s="182"/>
      <c r="BL153" s="182"/>
      <c r="BM153" s="182" t="s">
        <v>491</v>
      </c>
      <c r="BN153" s="182"/>
      <c r="BO153" s="182"/>
      <c r="BP153" s="182"/>
      <c r="BQ153" s="182"/>
      <c r="BR153" s="182"/>
      <c r="BS153" s="182"/>
      <c r="BT153" s="182"/>
      <c r="BU153" s="182"/>
      <c r="BV153" s="182" t="s">
        <v>1797</v>
      </c>
      <c r="BW153" s="182"/>
      <c r="BX153" s="182"/>
      <c r="BY153" s="182"/>
      <c r="BZ153" s="182"/>
      <c r="CA153" s="182" t="s">
        <v>1798</v>
      </c>
      <c r="CB153" s="182"/>
      <c r="CC153" s="182"/>
      <c r="CD153" s="182"/>
      <c r="CE153" s="182"/>
      <c r="CF153" s="182"/>
      <c r="CG153" s="182"/>
      <c r="CH153" s="182"/>
      <c r="CI153" s="182"/>
      <c r="CJ153" s="182"/>
      <c r="CK153" s="182"/>
      <c r="CL153" s="182"/>
      <c r="CM153" s="182"/>
      <c r="CN153" s="182"/>
      <c r="CO153" s="182" t="s">
        <v>1139</v>
      </c>
      <c r="CP153" s="182"/>
      <c r="CQ153" s="182"/>
      <c r="CR153" s="182"/>
      <c r="CS153" s="182"/>
      <c r="CT153" s="182"/>
      <c r="CU153" s="182"/>
      <c r="CV153" s="182"/>
      <c r="CW153" s="182"/>
      <c r="CX153" s="182"/>
      <c r="CY153" s="182"/>
      <c r="CZ153" s="182"/>
      <c r="DA153" s="182"/>
      <c r="DB153" s="182"/>
      <c r="DC153" s="182"/>
      <c r="DD153" s="182"/>
      <c r="DE153" s="182"/>
      <c r="DF153" s="174">
        <v>10</v>
      </c>
      <c r="EE153" s="203">
        <v>2.5431999999999975</v>
      </c>
      <c r="EF153" s="174">
        <v>25</v>
      </c>
      <c r="HB153" s="197">
        <v>150</v>
      </c>
      <c r="HC153" s="194">
        <v>94</v>
      </c>
      <c r="HD153" s="238">
        <v>120</v>
      </c>
      <c r="HE153" s="236">
        <v>25</v>
      </c>
      <c r="HF153" s="183">
        <v>215</v>
      </c>
      <c r="HG153" s="193" t="e">
        <f t="shared" si="20"/>
        <v>#N/A</v>
      </c>
      <c r="HH153" s="192" t="e">
        <f t="shared" si="21"/>
        <v>#N/A</v>
      </c>
      <c r="HI153" s="198">
        <v>25</v>
      </c>
      <c r="HJ153" s="185">
        <v>165</v>
      </c>
      <c r="HK153" s="174">
        <v>151</v>
      </c>
      <c r="HL153" s="174">
        <v>583</v>
      </c>
      <c r="HM153" s="174">
        <v>664</v>
      </c>
      <c r="HN153" s="174">
        <v>523</v>
      </c>
      <c r="HO153" s="174">
        <v>271</v>
      </c>
      <c r="HP153" s="174">
        <v>261</v>
      </c>
      <c r="HQ153" s="174">
        <v>251</v>
      </c>
      <c r="HR153" s="174">
        <v>241</v>
      </c>
      <c r="HS153" s="174">
        <v>523</v>
      </c>
      <c r="HT153" s="174">
        <v>513</v>
      </c>
      <c r="HU153" s="174">
        <v>251</v>
      </c>
      <c r="HV153" s="174">
        <v>372</v>
      </c>
      <c r="HW153" s="174">
        <v>241</v>
      </c>
      <c r="HX153" s="174">
        <v>231</v>
      </c>
      <c r="HY153" s="174">
        <v>221</v>
      </c>
      <c r="HZ153" s="174">
        <v>211</v>
      </c>
      <c r="IA153" s="174">
        <v>362</v>
      </c>
      <c r="IB153" s="174">
        <v>342</v>
      </c>
      <c r="IC153" s="174">
        <v>211</v>
      </c>
      <c r="ID153" s="174">
        <v>181</v>
      </c>
      <c r="IE153" s="174">
        <v>161</v>
      </c>
      <c r="IF153" s="174">
        <v>153</v>
      </c>
    </row>
    <row r="154" spans="1:240" ht="13.35" customHeight="1" thickBot="1" x14ac:dyDescent="0.25">
      <c r="A154" s="209" t="s">
        <v>1799</v>
      </c>
      <c r="B154" s="210" t="e">
        <f>VLOOKUP(Stats!$B$2,$ED$3:$EL$67,9,0)</f>
        <v>#N/A</v>
      </c>
      <c r="C154" s="211"/>
      <c r="E154" s="207"/>
      <c r="F154" s="182"/>
      <c r="G154" s="182"/>
      <c r="H154" s="182"/>
      <c r="I154" s="182"/>
      <c r="J154" s="182"/>
      <c r="K154" s="182"/>
      <c r="L154" s="182"/>
      <c r="M154" s="182"/>
      <c r="N154" s="182"/>
      <c r="O154" s="182"/>
      <c r="P154" s="182"/>
      <c r="Q154" s="182"/>
      <c r="R154" s="182"/>
      <c r="S154" s="182"/>
      <c r="T154" s="182"/>
      <c r="U154" s="182"/>
      <c r="V154" s="182"/>
      <c r="W154" s="182"/>
      <c r="X154" s="182"/>
      <c r="Y154" s="182"/>
      <c r="Z154" s="182"/>
      <c r="AA154" s="182"/>
      <c r="AB154" s="182"/>
      <c r="AC154" s="182"/>
      <c r="AD154" s="182"/>
      <c r="AE154" s="182"/>
      <c r="AF154" s="182"/>
      <c r="AG154" s="182"/>
      <c r="AH154" s="182"/>
      <c r="AI154" s="182"/>
      <c r="AJ154" s="182"/>
      <c r="AK154" s="182"/>
      <c r="AL154" s="182"/>
      <c r="AM154" s="182"/>
      <c r="AN154" s="182"/>
      <c r="AO154" s="182"/>
      <c r="AP154" s="182"/>
      <c r="AQ154" s="182"/>
      <c r="AR154" s="182"/>
      <c r="AS154" s="182"/>
      <c r="AT154" s="182"/>
      <c r="AU154" s="182"/>
      <c r="AV154" s="182"/>
      <c r="AW154" s="182"/>
      <c r="AX154" s="182"/>
      <c r="AY154" s="182"/>
      <c r="AZ154" s="182"/>
      <c r="BA154" s="182"/>
      <c r="BB154" s="182"/>
      <c r="BC154" s="182"/>
      <c r="BD154" s="182"/>
      <c r="BE154" s="182"/>
      <c r="BF154" s="182"/>
      <c r="BG154" s="182"/>
      <c r="BH154" s="182"/>
      <c r="BI154" s="182"/>
      <c r="BJ154" s="182"/>
      <c r="BK154" s="182"/>
      <c r="BL154" s="182"/>
      <c r="BM154" s="182"/>
      <c r="BN154" s="182"/>
      <c r="BO154" s="182"/>
      <c r="BP154" s="182"/>
      <c r="BQ154" s="182"/>
      <c r="BR154" s="182"/>
      <c r="BS154" s="182"/>
      <c r="BT154" s="182"/>
      <c r="BU154" s="182"/>
      <c r="BV154" s="182"/>
      <c r="BW154" s="182"/>
      <c r="BX154" s="182"/>
      <c r="BY154" s="182"/>
      <c r="BZ154" s="182"/>
      <c r="CA154" s="182"/>
      <c r="CB154" s="182"/>
      <c r="CC154" s="182"/>
      <c r="CD154" s="182"/>
      <c r="CE154" s="182"/>
      <c r="CF154" s="182"/>
      <c r="CG154" s="182"/>
      <c r="CH154" s="182"/>
      <c r="CI154" s="182"/>
      <c r="CJ154" s="182"/>
      <c r="CK154" s="182"/>
      <c r="CL154" s="182"/>
      <c r="CM154" s="182"/>
      <c r="CN154" s="182"/>
      <c r="CO154" s="182" t="s">
        <v>1800</v>
      </c>
      <c r="CP154" s="182"/>
      <c r="CQ154" s="182"/>
      <c r="CR154" s="182"/>
      <c r="CS154" s="182"/>
      <c r="CT154" s="182"/>
      <c r="CU154" s="182"/>
      <c r="CV154" s="182"/>
      <c r="CW154" s="182"/>
      <c r="CX154" s="182"/>
      <c r="CY154" s="182"/>
      <c r="CZ154" s="182"/>
      <c r="DA154" s="182"/>
      <c r="DB154" s="182"/>
      <c r="DC154" s="182"/>
      <c r="DD154" s="182"/>
      <c r="DE154" s="182"/>
      <c r="DF154" s="174">
        <v>11</v>
      </c>
      <c r="EE154" s="203">
        <v>2.5685999999999978</v>
      </c>
      <c r="EF154" s="174">
        <v>25</v>
      </c>
      <c r="HB154" s="197">
        <v>151</v>
      </c>
      <c r="HC154" s="194">
        <v>95</v>
      </c>
      <c r="HD154" s="238">
        <v>120.5</v>
      </c>
      <c r="HE154" s="236">
        <v>25</v>
      </c>
      <c r="HF154" s="183">
        <v>216</v>
      </c>
      <c r="HG154" s="193" t="e">
        <f t="shared" si="20"/>
        <v>#N/A</v>
      </c>
      <c r="HH154" s="192" t="e">
        <f t="shared" si="21"/>
        <v>#N/A</v>
      </c>
      <c r="HI154" s="198">
        <v>25</v>
      </c>
      <c r="HJ154" s="185">
        <v>165.5</v>
      </c>
      <c r="HK154" s="174">
        <v>152</v>
      </c>
      <c r="HL154" s="174">
        <v>586</v>
      </c>
      <c r="HM154" s="174">
        <v>668</v>
      </c>
      <c r="HN154" s="174">
        <v>526</v>
      </c>
      <c r="HO154" s="174">
        <v>272</v>
      </c>
      <c r="HP154" s="174">
        <v>262</v>
      </c>
      <c r="HQ154" s="174">
        <v>252</v>
      </c>
      <c r="HR154" s="174">
        <v>242</v>
      </c>
      <c r="HS154" s="174">
        <v>526</v>
      </c>
      <c r="HT154" s="174">
        <v>516</v>
      </c>
      <c r="HU154" s="174">
        <v>252</v>
      </c>
      <c r="HV154" s="174">
        <v>374</v>
      </c>
      <c r="HW154" s="174">
        <v>242</v>
      </c>
      <c r="HX154" s="174">
        <v>232</v>
      </c>
      <c r="HY154" s="174">
        <v>222</v>
      </c>
      <c r="HZ154" s="174">
        <v>212</v>
      </c>
      <c r="IA154" s="174">
        <v>364</v>
      </c>
      <c r="IB154" s="174">
        <v>344</v>
      </c>
      <c r="IC154" s="174">
        <v>212</v>
      </c>
      <c r="ID154" s="174">
        <v>182</v>
      </c>
      <c r="IE154" s="174">
        <v>162</v>
      </c>
      <c r="IF154" s="174">
        <v>154</v>
      </c>
    </row>
    <row r="155" spans="1:240" ht="13.35" customHeight="1" thickBot="1" x14ac:dyDescent="0.25">
      <c r="A155" s="212" t="s">
        <v>1801</v>
      </c>
      <c r="B155" s="174" t="e">
        <f>VLOOKUP(Stats!$B$2,$ED$3:$EL$67,$C$156,0)</f>
        <v>#N/A</v>
      </c>
      <c r="C155" s="213"/>
      <c r="E155" s="207"/>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2"/>
      <c r="AG155" s="182"/>
      <c r="AH155" s="182"/>
      <c r="AI155" s="182"/>
      <c r="AJ155" s="182"/>
      <c r="AK155" s="182"/>
      <c r="AL155" s="182"/>
      <c r="AM155" s="182"/>
      <c r="AN155" s="182"/>
      <c r="AO155" s="182"/>
      <c r="AP155" s="182"/>
      <c r="AQ155" s="182"/>
      <c r="AR155" s="182"/>
      <c r="AS155" s="182"/>
      <c r="AT155" s="182"/>
      <c r="AU155" s="182"/>
      <c r="AV155" s="182"/>
      <c r="AW155" s="182"/>
      <c r="AX155" s="182"/>
      <c r="AY155" s="182"/>
      <c r="AZ155" s="182"/>
      <c r="BA155" s="182"/>
      <c r="BB155" s="182"/>
      <c r="BC155" s="182"/>
      <c r="BD155" s="182"/>
      <c r="BE155" s="182"/>
      <c r="BF155" s="182"/>
      <c r="BG155" s="182"/>
      <c r="BH155" s="182"/>
      <c r="BI155" s="182"/>
      <c r="BJ155" s="182"/>
      <c r="BK155" s="182"/>
      <c r="BL155" s="182"/>
      <c r="BM155" s="182"/>
      <c r="BN155" s="182"/>
      <c r="BO155" s="182"/>
      <c r="BP155" s="182"/>
      <c r="BQ155" s="182"/>
      <c r="BR155" s="182"/>
      <c r="BS155" s="182"/>
      <c r="BT155" s="182"/>
      <c r="BU155" s="182"/>
      <c r="BV155" s="182"/>
      <c r="BW155" s="182"/>
      <c r="BX155" s="182"/>
      <c r="BY155" s="182"/>
      <c r="BZ155" s="182"/>
      <c r="CA155" s="182"/>
      <c r="CB155" s="182"/>
      <c r="CC155" s="182"/>
      <c r="CD155" s="182"/>
      <c r="CE155" s="182"/>
      <c r="CF155" s="182"/>
      <c r="CG155" s="182"/>
      <c r="CH155" s="182"/>
      <c r="CI155" s="182"/>
      <c r="CJ155" s="182"/>
      <c r="CK155" s="182"/>
      <c r="CL155" s="182"/>
      <c r="CM155" s="182"/>
      <c r="CN155" s="182"/>
      <c r="CO155" s="182" t="s">
        <v>1802</v>
      </c>
      <c r="CP155" s="182"/>
      <c r="CQ155" s="182"/>
      <c r="CR155" s="182"/>
      <c r="CS155" s="182"/>
      <c r="CT155" s="182"/>
      <c r="CU155" s="182"/>
      <c r="CV155" s="182"/>
      <c r="CW155" s="182"/>
      <c r="CX155" s="182"/>
      <c r="CY155" s="182"/>
      <c r="CZ155" s="182"/>
      <c r="DA155" s="182"/>
      <c r="DB155" s="182"/>
      <c r="DC155" s="182"/>
      <c r="DD155" s="182"/>
      <c r="DE155" s="182"/>
      <c r="DF155" s="174">
        <v>12</v>
      </c>
      <c r="EE155" s="203">
        <v>2.5939999999999981</v>
      </c>
      <c r="EF155" s="174">
        <v>25</v>
      </c>
      <c r="HB155" s="197">
        <v>152</v>
      </c>
      <c r="HC155" s="194">
        <v>95</v>
      </c>
      <c r="HD155" s="238">
        <v>121</v>
      </c>
      <c r="HE155" s="236">
        <v>25</v>
      </c>
      <c r="HF155" s="183">
        <v>217</v>
      </c>
      <c r="HG155" s="193" t="e">
        <f t="shared" si="20"/>
        <v>#N/A</v>
      </c>
      <c r="HH155" s="192" t="e">
        <f t="shared" si="21"/>
        <v>#N/A</v>
      </c>
      <c r="HI155" s="198">
        <v>25</v>
      </c>
      <c r="HJ155" s="185">
        <v>166</v>
      </c>
      <c r="HK155" s="174">
        <v>153</v>
      </c>
      <c r="HL155" s="174">
        <v>589</v>
      </c>
      <c r="HM155" s="174">
        <v>672</v>
      </c>
      <c r="HN155" s="174">
        <v>529</v>
      </c>
      <c r="HO155" s="174">
        <v>273</v>
      </c>
      <c r="HP155" s="174">
        <v>263</v>
      </c>
      <c r="HQ155" s="174">
        <v>253</v>
      </c>
      <c r="HR155" s="174">
        <v>243</v>
      </c>
      <c r="HS155" s="174">
        <v>529</v>
      </c>
      <c r="HT155" s="174">
        <v>519</v>
      </c>
      <c r="HU155" s="174">
        <v>253</v>
      </c>
      <c r="HV155" s="174">
        <v>376</v>
      </c>
      <c r="HW155" s="174">
        <v>243</v>
      </c>
      <c r="HX155" s="174">
        <v>233</v>
      </c>
      <c r="HY155" s="174">
        <v>223</v>
      </c>
      <c r="HZ155" s="174">
        <v>213</v>
      </c>
      <c r="IA155" s="174">
        <v>366</v>
      </c>
      <c r="IB155" s="174">
        <v>346</v>
      </c>
      <c r="IC155" s="174">
        <v>213</v>
      </c>
      <c r="ID155" s="174">
        <v>183</v>
      </c>
      <c r="IE155" s="174">
        <v>163</v>
      </c>
      <c r="IF155" s="174">
        <v>155</v>
      </c>
    </row>
    <row r="156" spans="1:240" ht="13.35" customHeight="1" thickBot="1" x14ac:dyDescent="0.25">
      <c r="A156" s="212" t="s">
        <v>242</v>
      </c>
      <c r="B156" s="174">
        <v>2</v>
      </c>
      <c r="C156" s="213" t="e">
        <f>VLOOKUP(Stats!$C$39,$A$156:$B$162,2,0)</f>
        <v>#N/A</v>
      </c>
      <c r="E156" s="207"/>
      <c r="EE156" s="203">
        <v>2.6193999999999984</v>
      </c>
      <c r="EF156" s="174">
        <v>25</v>
      </c>
      <c r="HB156" s="197">
        <v>153</v>
      </c>
      <c r="HC156" s="194">
        <v>96</v>
      </c>
      <c r="HD156" s="238">
        <v>121.5</v>
      </c>
      <c r="HE156" s="236">
        <v>25</v>
      </c>
      <c r="HF156" s="183">
        <v>218</v>
      </c>
      <c r="HG156" s="193" t="e">
        <f t="shared" si="20"/>
        <v>#N/A</v>
      </c>
      <c r="HH156" s="192" t="e">
        <f t="shared" si="21"/>
        <v>#N/A</v>
      </c>
      <c r="HI156" s="198">
        <v>25</v>
      </c>
      <c r="HJ156" s="185">
        <v>166.5</v>
      </c>
      <c r="HK156" s="174">
        <v>154</v>
      </c>
      <c r="HL156" s="174">
        <v>592</v>
      </c>
      <c r="HM156" s="174">
        <v>676</v>
      </c>
      <c r="HN156" s="174">
        <v>532</v>
      </c>
      <c r="HO156" s="174">
        <v>274</v>
      </c>
      <c r="HP156" s="174">
        <v>264</v>
      </c>
      <c r="HQ156" s="174">
        <v>254</v>
      </c>
      <c r="HR156" s="174">
        <v>244</v>
      </c>
      <c r="HS156" s="174">
        <v>532</v>
      </c>
      <c r="HT156" s="174">
        <v>522</v>
      </c>
      <c r="HU156" s="174">
        <v>254</v>
      </c>
      <c r="HV156" s="174">
        <v>378</v>
      </c>
      <c r="HW156" s="174">
        <v>244</v>
      </c>
      <c r="HX156" s="174">
        <v>234</v>
      </c>
      <c r="HY156" s="174">
        <v>224</v>
      </c>
      <c r="HZ156" s="174">
        <v>214</v>
      </c>
      <c r="IA156" s="174">
        <v>368</v>
      </c>
      <c r="IB156" s="174">
        <v>348</v>
      </c>
      <c r="IC156" s="174">
        <v>214</v>
      </c>
      <c r="ID156" s="174">
        <v>184</v>
      </c>
      <c r="IE156" s="174">
        <v>164</v>
      </c>
      <c r="IF156" s="174">
        <v>156</v>
      </c>
    </row>
    <row r="157" spans="1:240" ht="13.35" customHeight="1" thickBot="1" x14ac:dyDescent="0.25">
      <c r="A157" s="212" t="s">
        <v>243</v>
      </c>
      <c r="B157" s="174">
        <v>3</v>
      </c>
      <c r="C157" s="213"/>
      <c r="E157" s="207"/>
      <c r="EE157" s="203">
        <v>2.6447999999999983</v>
      </c>
      <c r="EF157" s="174">
        <v>25</v>
      </c>
      <c r="HB157" s="197">
        <v>154</v>
      </c>
      <c r="HC157" s="194">
        <v>96</v>
      </c>
      <c r="HD157" s="238">
        <v>122</v>
      </c>
      <c r="HE157" s="236">
        <v>25</v>
      </c>
      <c r="HF157" s="183">
        <v>219</v>
      </c>
      <c r="HG157" s="193" t="e">
        <f t="shared" si="20"/>
        <v>#N/A</v>
      </c>
      <c r="HH157" s="192" t="e">
        <f t="shared" si="21"/>
        <v>#N/A</v>
      </c>
      <c r="HI157" s="198">
        <v>25</v>
      </c>
      <c r="HJ157" s="185">
        <v>167</v>
      </c>
      <c r="HK157" s="174">
        <v>155</v>
      </c>
      <c r="HL157" s="174">
        <v>595</v>
      </c>
      <c r="HM157" s="174">
        <v>680</v>
      </c>
      <c r="HN157" s="174">
        <v>535</v>
      </c>
      <c r="HO157" s="174">
        <v>275</v>
      </c>
      <c r="HP157" s="174">
        <v>265</v>
      </c>
      <c r="HQ157" s="174">
        <v>255</v>
      </c>
      <c r="HR157" s="174">
        <v>245</v>
      </c>
      <c r="HS157" s="174">
        <v>535</v>
      </c>
      <c r="HT157" s="174">
        <v>525</v>
      </c>
      <c r="HU157" s="174">
        <v>255</v>
      </c>
      <c r="HV157" s="174">
        <v>380</v>
      </c>
      <c r="HW157" s="174">
        <v>245</v>
      </c>
      <c r="HX157" s="174">
        <v>235</v>
      </c>
      <c r="HY157" s="174">
        <v>225</v>
      </c>
      <c r="HZ157" s="174">
        <v>215</v>
      </c>
      <c r="IA157" s="174">
        <v>370</v>
      </c>
      <c r="IB157" s="174">
        <v>350</v>
      </c>
      <c r="IC157" s="174">
        <v>215</v>
      </c>
      <c r="ID157" s="174">
        <v>185</v>
      </c>
      <c r="IE157" s="174">
        <v>165</v>
      </c>
      <c r="IF157" s="174">
        <v>157</v>
      </c>
    </row>
    <row r="158" spans="1:240" ht="13.35" customHeight="1" thickBot="1" x14ac:dyDescent="0.25">
      <c r="A158" s="212" t="s">
        <v>244</v>
      </c>
      <c r="B158" s="174">
        <v>4</v>
      </c>
      <c r="C158" s="213"/>
      <c r="E158" s="207" t="s">
        <v>1151</v>
      </c>
      <c r="F158" s="174" t="s">
        <v>782</v>
      </c>
      <c r="G158" s="174" t="s">
        <v>783</v>
      </c>
      <c r="H158" s="174" t="s">
        <v>784</v>
      </c>
      <c r="I158" s="174" t="s">
        <v>785</v>
      </c>
      <c r="J158" s="174" t="s">
        <v>786</v>
      </c>
      <c r="K158" s="174" t="s">
        <v>787</v>
      </c>
      <c r="L158" s="174" t="s">
        <v>788</v>
      </c>
      <c r="M158" s="174" t="s">
        <v>789</v>
      </c>
      <c r="N158" s="174" t="s">
        <v>790</v>
      </c>
      <c r="O158" s="174" t="s">
        <v>791</v>
      </c>
      <c r="P158" s="174" t="s">
        <v>792</v>
      </c>
      <c r="Q158" s="174" t="s">
        <v>793</v>
      </c>
      <c r="R158" s="174" t="s">
        <v>794</v>
      </c>
      <c r="S158" s="174" t="s">
        <v>182</v>
      </c>
      <c r="T158" s="174" t="s">
        <v>795</v>
      </c>
      <c r="U158" s="174" t="s">
        <v>796</v>
      </c>
      <c r="V158" s="174" t="s">
        <v>797</v>
      </c>
      <c r="W158" s="174" t="s">
        <v>798</v>
      </c>
      <c r="X158" s="174" t="s">
        <v>799</v>
      </c>
      <c r="Y158" s="174" t="s">
        <v>800</v>
      </c>
      <c r="AA158" s="174" t="str">
        <f>AA144</f>
        <v>Arcanist (AC)</v>
      </c>
      <c r="AB158" s="174" t="str">
        <f>AB144</f>
        <v>Wizard (AC)</v>
      </c>
      <c r="AC158" s="174" t="str">
        <f>AC144</f>
        <v>Chaotic (AC)</v>
      </c>
      <c r="AD158" s="174" t="str">
        <f>AD144</f>
        <v>Magehunter (AC)</v>
      </c>
      <c r="AF158" s="174" t="s">
        <v>805</v>
      </c>
      <c r="AG158" s="174" t="s">
        <v>806</v>
      </c>
      <c r="AH158" s="174" t="s">
        <v>807</v>
      </c>
      <c r="AJ158" s="174" t="s">
        <v>808</v>
      </c>
      <c r="AK158" s="174" t="s">
        <v>809</v>
      </c>
      <c r="AL158" s="174" t="s">
        <v>810</v>
      </c>
      <c r="AM158" s="174" t="s">
        <v>811</v>
      </c>
      <c r="AO158" s="174" t="s">
        <v>812</v>
      </c>
      <c r="AP158" s="174" t="s">
        <v>813</v>
      </c>
      <c r="AQ158" s="174" t="s">
        <v>814</v>
      </c>
      <c r="AS158" s="174" t="s">
        <v>815</v>
      </c>
      <c r="AT158" s="174" t="s">
        <v>816</v>
      </c>
      <c r="AU158" s="174" t="s">
        <v>817</v>
      </c>
      <c r="AV158" s="174" t="s">
        <v>818</v>
      </c>
      <c r="AW158" s="174" t="s">
        <v>819</v>
      </c>
      <c r="AX158" s="174" t="s">
        <v>820</v>
      </c>
      <c r="AY158" s="174" t="s">
        <v>821</v>
      </c>
      <c r="AZ158" s="174" t="s">
        <v>822</v>
      </c>
      <c r="BA158" s="174" t="str">
        <f t="shared" ref="BA158:CQ158" si="23">BA144</f>
        <v>Priest of Culture</v>
      </c>
      <c r="BB158" s="174" t="str">
        <f t="shared" si="23"/>
        <v>Priest of Darkness, Night</v>
      </c>
      <c r="BC158" s="174" t="str">
        <f t="shared" si="23"/>
        <v>Priest of Dawn</v>
      </c>
      <c r="BD158" s="174" t="str">
        <f t="shared" si="23"/>
        <v>Priest of Death</v>
      </c>
      <c r="BE158" s="174" t="str">
        <f t="shared" si="23"/>
        <v>Priest of Disease</v>
      </c>
      <c r="BF158" s="174" t="str">
        <f t="shared" si="23"/>
        <v>Priest of Earth</v>
      </c>
      <c r="BG158" s="174" t="str">
        <f t="shared" si="23"/>
        <v>Priest of Fate, Destiny</v>
      </c>
      <c r="BH158" s="174" t="str">
        <f t="shared" si="23"/>
        <v>Priest of Fertility</v>
      </c>
      <c r="BI158" s="174" t="str">
        <f t="shared" si="23"/>
        <v>Priest of Fire</v>
      </c>
      <c r="BJ158" s="174" t="str">
        <f t="shared" si="23"/>
        <v>Priest of Fortune, Luck</v>
      </c>
      <c r="BK158" s="174" t="str">
        <f t="shared" si="23"/>
        <v>Priest of Guardianship</v>
      </c>
      <c r="BL158" s="174" t="str">
        <f t="shared" si="23"/>
        <v>Priest of Healing</v>
      </c>
      <c r="BM158" s="174" t="str">
        <f t="shared" si="23"/>
        <v>Priest of Hunting</v>
      </c>
      <c r="BN158" s="174" t="str">
        <f t="shared" si="23"/>
        <v>Priest of Justice, Revenge</v>
      </c>
      <c r="BO158" s="174" t="str">
        <f t="shared" si="23"/>
        <v>Priest of Light</v>
      </c>
      <c r="BP158" s="174" t="str">
        <f t="shared" si="23"/>
        <v>Priest of Lightning</v>
      </c>
      <c r="BQ158" s="174" t="str">
        <f t="shared" si="23"/>
        <v>Priest of Literature</v>
      </c>
      <c r="BR158" s="174" t="str">
        <f t="shared" si="23"/>
        <v>Priest of Love</v>
      </c>
      <c r="BS158" s="174" t="str">
        <f t="shared" si="23"/>
        <v>Priest of Magic</v>
      </c>
      <c r="BT158" s="174" t="str">
        <f t="shared" si="23"/>
        <v>Priest of Marriage</v>
      </c>
      <c r="BU158" s="174" t="str">
        <f t="shared" si="23"/>
        <v>Priest of Messengers</v>
      </c>
      <c r="BV158" s="174" t="str">
        <f t="shared" si="23"/>
        <v>Priest of Metalwork</v>
      </c>
      <c r="BW158" s="174" t="str">
        <f t="shared" si="23"/>
        <v>Priest of Mischief/Trickery</v>
      </c>
      <c r="BX158" s="174" t="str">
        <f t="shared" si="23"/>
        <v>Priest of Moon</v>
      </c>
      <c r="BY158" s="174" t="str">
        <f t="shared" si="23"/>
        <v>Priest of Music, Dance</v>
      </c>
      <c r="BZ158" s="174" t="str">
        <f t="shared" si="23"/>
        <v>Priest of Nature</v>
      </c>
      <c r="CA158" s="174" t="str">
        <f t="shared" si="23"/>
        <v>Priest of Ocean, Rivers</v>
      </c>
      <c r="CB158" s="174" t="str">
        <f t="shared" si="23"/>
        <v>Priest of Oracles</v>
      </c>
      <c r="CC158" s="174" t="str">
        <f t="shared" si="23"/>
        <v>Priest of Peace</v>
      </c>
      <c r="CD158" s="174" t="str">
        <f t="shared" si="23"/>
        <v>Priest of Prosperity</v>
      </c>
      <c r="CE158" s="174" t="str">
        <f t="shared" si="23"/>
        <v>Priest of Redemption</v>
      </c>
      <c r="CF158" s="174" t="str">
        <f t="shared" si="23"/>
        <v>Priest of Rulership</v>
      </c>
      <c r="CG158" s="174" t="str">
        <f t="shared" si="23"/>
        <v>Priest of Seasons</v>
      </c>
      <c r="CH158" s="174" t="str">
        <f t="shared" si="23"/>
        <v>Priest of Sky, Weather</v>
      </c>
      <c r="CI158" s="174" t="str">
        <f t="shared" si="23"/>
        <v>Priest of Strength</v>
      </c>
      <c r="CJ158" s="174" t="str">
        <f t="shared" si="23"/>
        <v>Priest of Sun</v>
      </c>
      <c r="CK158" s="174" t="str">
        <f t="shared" si="23"/>
        <v>Priest of Thunder</v>
      </c>
      <c r="CL158" s="174" t="str">
        <f t="shared" si="23"/>
        <v>Priest of Time</v>
      </c>
      <c r="CM158" s="174" t="str">
        <f t="shared" si="23"/>
        <v>Priest of Trade</v>
      </c>
      <c r="CN158" s="174" t="str">
        <f t="shared" si="23"/>
        <v>Priest of Vegetation</v>
      </c>
      <c r="CO158" s="174" t="str">
        <f t="shared" si="23"/>
        <v>Priest of War</v>
      </c>
      <c r="CP158" s="174" t="str">
        <f t="shared" si="23"/>
        <v>Priest of Wind</v>
      </c>
      <c r="CQ158" s="174" t="str">
        <f t="shared" si="23"/>
        <v>Priest of Wisdom</v>
      </c>
      <c r="CS158" s="174" t="str">
        <f>CS144</f>
        <v>Barbarian (FRP)</v>
      </c>
      <c r="CT158" s="174" t="str">
        <f>CT144</f>
        <v>Outrider (FRP)</v>
      </c>
      <c r="CU158" s="174" t="str">
        <f>CU144</f>
        <v>Sage (FRP)</v>
      </c>
      <c r="CV158" s="174" t="str">
        <f>CV144</f>
        <v>Swashbuckler (FRP)</v>
      </c>
      <c r="CX158" s="174" t="s">
        <v>870</v>
      </c>
      <c r="CY158" s="174" t="s">
        <v>871</v>
      </c>
      <c r="CZ158" s="174" t="s">
        <v>872</v>
      </c>
      <c r="DA158" s="174" t="s">
        <v>1149</v>
      </c>
      <c r="DB158" s="174" t="s">
        <v>874</v>
      </c>
      <c r="DC158" s="174" t="s">
        <v>875</v>
      </c>
      <c r="DD158" s="174" t="s">
        <v>876</v>
      </c>
      <c r="DE158" s="174" t="str">
        <f>DE144</f>
        <v>NEW PROF</v>
      </c>
      <c r="DF158" s="174">
        <v>1</v>
      </c>
      <c r="EE158" s="203">
        <v>2.6701999999999986</v>
      </c>
      <c r="EF158" s="174">
        <v>25</v>
      </c>
      <c r="HB158" s="197">
        <v>155</v>
      </c>
      <c r="HC158" s="194">
        <v>97</v>
      </c>
      <c r="HD158" s="238">
        <v>122.5</v>
      </c>
      <c r="HE158" s="236">
        <v>25</v>
      </c>
      <c r="HF158" s="183">
        <v>220</v>
      </c>
      <c r="HG158" s="193" t="e">
        <f t="shared" si="20"/>
        <v>#N/A</v>
      </c>
      <c r="HH158" s="192" t="e">
        <f t="shared" si="21"/>
        <v>#N/A</v>
      </c>
      <c r="HI158" s="198">
        <v>25</v>
      </c>
      <c r="HJ158" s="185">
        <v>167.5</v>
      </c>
      <c r="HK158" s="174">
        <v>156</v>
      </c>
      <c r="HL158" s="174">
        <v>598</v>
      </c>
      <c r="HM158" s="174">
        <v>684</v>
      </c>
      <c r="HN158" s="174">
        <v>538</v>
      </c>
      <c r="HO158" s="174">
        <v>276</v>
      </c>
      <c r="HP158" s="174">
        <v>266</v>
      </c>
      <c r="HQ158" s="174">
        <v>256</v>
      </c>
      <c r="HR158" s="174">
        <v>246</v>
      </c>
      <c r="HS158" s="174">
        <v>538</v>
      </c>
      <c r="HT158" s="174">
        <v>528</v>
      </c>
      <c r="HU158" s="174">
        <v>256</v>
      </c>
      <c r="HV158" s="174">
        <v>382</v>
      </c>
      <c r="HW158" s="174">
        <v>246</v>
      </c>
      <c r="HX158" s="174">
        <v>236</v>
      </c>
      <c r="HY158" s="174">
        <v>226</v>
      </c>
      <c r="HZ158" s="174">
        <v>216</v>
      </c>
      <c r="IA158" s="174">
        <v>372</v>
      </c>
      <c r="IB158" s="174">
        <v>352</v>
      </c>
      <c r="IC158" s="174">
        <v>216</v>
      </c>
      <c r="ID158" s="174">
        <v>186</v>
      </c>
      <c r="IE158" s="174">
        <v>166</v>
      </c>
      <c r="IF158" s="174">
        <v>158</v>
      </c>
    </row>
    <row r="159" spans="1:240" ht="13.35" customHeight="1" thickBot="1" x14ac:dyDescent="0.25">
      <c r="A159" s="212" t="s">
        <v>887</v>
      </c>
      <c r="B159" s="174">
        <v>5</v>
      </c>
      <c r="C159" s="213"/>
      <c r="E159" s="207"/>
      <c r="F159" s="208" t="s">
        <v>4119</v>
      </c>
      <c r="G159" s="208" t="s">
        <v>4119</v>
      </c>
      <c r="H159" s="208" t="s">
        <v>4119</v>
      </c>
      <c r="I159" s="208" t="s">
        <v>587</v>
      </c>
      <c r="J159" s="208" t="s">
        <v>4119</v>
      </c>
      <c r="K159" s="208"/>
      <c r="L159" s="208" t="s">
        <v>248</v>
      </c>
      <c r="M159" s="208" t="s">
        <v>1407</v>
      </c>
      <c r="N159" s="208" t="s">
        <v>1407</v>
      </c>
      <c r="O159" s="208" t="s">
        <v>248</v>
      </c>
      <c r="P159" s="208" t="s">
        <v>248</v>
      </c>
      <c r="Q159" s="208" t="s">
        <v>248</v>
      </c>
      <c r="R159" s="208" t="s">
        <v>248</v>
      </c>
      <c r="S159" s="208" t="s">
        <v>248</v>
      </c>
      <c r="T159" s="208" t="s">
        <v>248</v>
      </c>
      <c r="U159" s="208" t="s">
        <v>248</v>
      </c>
      <c r="V159" s="208" t="s">
        <v>248</v>
      </c>
      <c r="W159" s="208" t="s">
        <v>248</v>
      </c>
      <c r="X159" s="208" t="s">
        <v>248</v>
      </c>
      <c r="Y159" s="208" t="s">
        <v>248</v>
      </c>
      <c r="Z159" s="208"/>
      <c r="AA159" s="208" t="s">
        <v>248</v>
      </c>
      <c r="AB159" s="208" t="s">
        <v>248</v>
      </c>
      <c r="AC159" s="208" t="s">
        <v>248</v>
      </c>
      <c r="AD159" s="208" t="s">
        <v>248</v>
      </c>
      <c r="AE159" s="208"/>
      <c r="AF159" s="208" t="s">
        <v>543</v>
      </c>
      <c r="AG159" s="208" t="s">
        <v>248</v>
      </c>
      <c r="AH159" s="208" t="s">
        <v>248</v>
      </c>
      <c r="AI159" s="208"/>
      <c r="AJ159" s="208" t="s">
        <v>248</v>
      </c>
      <c r="AK159" s="208" t="s">
        <v>248</v>
      </c>
      <c r="AL159" s="208" t="s">
        <v>248</v>
      </c>
      <c r="AM159" s="208" t="s">
        <v>248</v>
      </c>
      <c r="AN159" s="208"/>
      <c r="AO159" s="208" t="s">
        <v>248</v>
      </c>
      <c r="AP159" s="208" t="s">
        <v>248</v>
      </c>
      <c r="AQ159" s="208" t="s">
        <v>248</v>
      </c>
      <c r="AR159" s="208"/>
      <c r="AS159" s="208" t="s">
        <v>248</v>
      </c>
      <c r="AT159" s="208" t="s">
        <v>248</v>
      </c>
      <c r="AU159" s="208" t="s">
        <v>248</v>
      </c>
      <c r="AV159" s="208" t="s">
        <v>248</v>
      </c>
      <c r="AW159" s="208" t="s">
        <v>248</v>
      </c>
      <c r="AX159" s="208" t="s">
        <v>248</v>
      </c>
      <c r="AY159" s="208" t="s">
        <v>248</v>
      </c>
      <c r="AZ159" s="208" t="s">
        <v>248</v>
      </c>
      <c r="BA159" s="208" t="s">
        <v>248</v>
      </c>
      <c r="BB159" s="208" t="s">
        <v>248</v>
      </c>
      <c r="BC159" s="208" t="s">
        <v>248</v>
      </c>
      <c r="BD159" s="208" t="s">
        <v>248</v>
      </c>
      <c r="BE159" s="208" t="s">
        <v>248</v>
      </c>
      <c r="BF159" s="208" t="s">
        <v>248</v>
      </c>
      <c r="BG159" s="208" t="s">
        <v>248</v>
      </c>
      <c r="BH159" s="208" t="s">
        <v>248</v>
      </c>
      <c r="BI159" s="208" t="s">
        <v>248</v>
      </c>
      <c r="BJ159" s="208" t="s">
        <v>248</v>
      </c>
      <c r="BK159" s="208" t="s">
        <v>248</v>
      </c>
      <c r="BL159" s="208" t="s">
        <v>248</v>
      </c>
      <c r="BM159" s="208" t="s">
        <v>248</v>
      </c>
      <c r="BN159" s="208" t="s">
        <v>248</v>
      </c>
      <c r="BO159" s="208" t="s">
        <v>248</v>
      </c>
      <c r="BP159" s="208" t="s">
        <v>248</v>
      </c>
      <c r="BQ159" s="208" t="s">
        <v>248</v>
      </c>
      <c r="BR159" s="208" t="s">
        <v>506</v>
      </c>
      <c r="BS159" s="208" t="s">
        <v>1803</v>
      </c>
      <c r="BT159" s="208" t="s">
        <v>248</v>
      </c>
      <c r="BU159" s="208" t="s">
        <v>248</v>
      </c>
      <c r="BV159" s="208" t="s">
        <v>248</v>
      </c>
      <c r="BW159" s="208" t="s">
        <v>248</v>
      </c>
      <c r="BX159" s="208" t="s">
        <v>248</v>
      </c>
      <c r="BY159" s="208" t="s">
        <v>248</v>
      </c>
      <c r="BZ159" s="208" t="s">
        <v>248</v>
      </c>
      <c r="CA159" s="208" t="s">
        <v>248</v>
      </c>
      <c r="CB159" s="208" t="s">
        <v>248</v>
      </c>
      <c r="CC159" s="208" t="s">
        <v>248</v>
      </c>
      <c r="CD159" s="208" t="s">
        <v>248</v>
      </c>
      <c r="CE159" s="208" t="s">
        <v>248</v>
      </c>
      <c r="CF159" s="208" t="s">
        <v>248</v>
      </c>
      <c r="CG159" s="208" t="s">
        <v>248</v>
      </c>
      <c r="CH159" s="208" t="s">
        <v>248</v>
      </c>
      <c r="CI159" s="208" t="s">
        <v>248</v>
      </c>
      <c r="CJ159" s="208" t="s">
        <v>248</v>
      </c>
      <c r="CK159" s="208" t="s">
        <v>248</v>
      </c>
      <c r="CL159" s="208" t="s">
        <v>248</v>
      </c>
      <c r="CM159" s="208" t="s">
        <v>248</v>
      </c>
      <c r="CN159" s="208" t="s">
        <v>248</v>
      </c>
      <c r="CO159" s="208" t="s">
        <v>248</v>
      </c>
      <c r="CP159" s="208" t="s">
        <v>248</v>
      </c>
      <c r="CQ159" s="208" t="s">
        <v>248</v>
      </c>
      <c r="CR159" s="208"/>
      <c r="CS159" s="208" t="s">
        <v>4119</v>
      </c>
      <c r="CT159" s="208" t="s">
        <v>4119</v>
      </c>
      <c r="CU159" s="208" t="s">
        <v>4119</v>
      </c>
      <c r="CV159" s="208" t="s">
        <v>4119</v>
      </c>
      <c r="CW159" s="208"/>
      <c r="CX159" s="208" t="s">
        <v>248</v>
      </c>
      <c r="CY159" s="208" t="s">
        <v>248</v>
      </c>
      <c r="CZ159" s="208" t="s">
        <v>248</v>
      </c>
      <c r="DA159" s="208" t="s">
        <v>4119</v>
      </c>
      <c r="DB159" s="208" t="s">
        <v>248</v>
      </c>
      <c r="DC159" s="208" t="s">
        <v>248</v>
      </c>
      <c r="DD159" s="208" t="s">
        <v>248</v>
      </c>
      <c r="DE159" s="208"/>
      <c r="DF159" s="174">
        <v>2</v>
      </c>
      <c r="HB159" s="197">
        <v>156</v>
      </c>
      <c r="HC159" s="194">
        <v>97</v>
      </c>
      <c r="HD159" s="238">
        <v>123</v>
      </c>
      <c r="HE159" s="236">
        <v>25</v>
      </c>
      <c r="HF159" s="183">
        <v>221</v>
      </c>
      <c r="HG159" s="193" t="e">
        <f t="shared" si="20"/>
        <v>#N/A</v>
      </c>
      <c r="HH159" s="192" t="e">
        <f t="shared" si="21"/>
        <v>#N/A</v>
      </c>
      <c r="HI159" s="198">
        <v>25</v>
      </c>
      <c r="HJ159" s="185">
        <v>168</v>
      </c>
      <c r="HK159" s="174">
        <v>157</v>
      </c>
      <c r="HL159" s="174">
        <v>601</v>
      </c>
      <c r="HM159" s="174">
        <v>688</v>
      </c>
      <c r="HN159" s="174">
        <v>541</v>
      </c>
      <c r="HO159" s="174">
        <v>277</v>
      </c>
      <c r="HP159" s="174">
        <v>267</v>
      </c>
      <c r="HQ159" s="174">
        <v>257</v>
      </c>
      <c r="HR159" s="174">
        <v>247</v>
      </c>
      <c r="HS159" s="174">
        <v>541</v>
      </c>
      <c r="HT159" s="174">
        <v>531</v>
      </c>
      <c r="HU159" s="174">
        <v>257</v>
      </c>
      <c r="HV159" s="174">
        <v>384</v>
      </c>
      <c r="HW159" s="174">
        <v>247</v>
      </c>
      <c r="HX159" s="174">
        <v>237</v>
      </c>
      <c r="HY159" s="174">
        <v>227</v>
      </c>
      <c r="HZ159" s="174">
        <v>217</v>
      </c>
      <c r="IA159" s="174">
        <v>374</v>
      </c>
      <c r="IB159" s="174">
        <v>354</v>
      </c>
      <c r="IC159" s="174">
        <v>217</v>
      </c>
      <c r="ID159" s="174">
        <v>187</v>
      </c>
      <c r="IE159" s="174">
        <v>167</v>
      </c>
      <c r="IF159" s="174">
        <v>159</v>
      </c>
    </row>
    <row r="160" spans="1:240" ht="13.35" customHeight="1" thickBot="1" x14ac:dyDescent="0.25">
      <c r="A160" s="212" t="s">
        <v>1401</v>
      </c>
      <c r="B160" s="174">
        <v>6</v>
      </c>
      <c r="C160" s="213"/>
      <c r="E160" s="207"/>
      <c r="F160" s="208"/>
      <c r="G160" s="208"/>
      <c r="H160" s="208"/>
      <c r="I160" s="208" t="s">
        <v>599</v>
      </c>
      <c r="J160" s="208"/>
      <c r="K160" s="208"/>
      <c r="L160" s="208"/>
      <c r="M160" s="208"/>
      <c r="N160" s="208"/>
      <c r="O160" s="208"/>
      <c r="P160" s="208"/>
      <c r="Q160" s="208"/>
      <c r="R160" s="208"/>
      <c r="S160" s="208"/>
      <c r="T160" s="208"/>
      <c r="U160" s="208"/>
      <c r="V160" s="208"/>
      <c r="W160" s="208"/>
      <c r="X160" s="208"/>
      <c r="Y160" s="208"/>
      <c r="Z160" s="208"/>
      <c r="AA160" s="208"/>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208"/>
      <c r="BD160" s="208"/>
      <c r="BE160" s="208"/>
      <c r="BF160" s="208"/>
      <c r="BG160" s="208"/>
      <c r="BH160" s="208"/>
      <c r="BI160" s="208"/>
      <c r="BJ160" s="208"/>
      <c r="BK160" s="208"/>
      <c r="BL160" s="208"/>
      <c r="BM160" s="208"/>
      <c r="BN160" s="208"/>
      <c r="BO160" s="208"/>
      <c r="BP160" s="208"/>
      <c r="BQ160" s="208"/>
      <c r="BR160" s="208"/>
      <c r="BS160" s="208"/>
      <c r="BT160" s="208"/>
      <c r="BU160" s="208"/>
      <c r="BV160" s="208"/>
      <c r="BW160" s="208"/>
      <c r="BX160" s="208"/>
      <c r="BY160" s="208"/>
      <c r="BZ160" s="208"/>
      <c r="CA160" s="208"/>
      <c r="CB160" s="208"/>
      <c r="CC160" s="208"/>
      <c r="CD160" s="208"/>
      <c r="CE160" s="208"/>
      <c r="CF160" s="208"/>
      <c r="CG160" s="208"/>
      <c r="CH160" s="208"/>
      <c r="CI160" s="208"/>
      <c r="CJ160" s="208"/>
      <c r="CK160" s="208"/>
      <c r="CL160" s="208"/>
      <c r="CM160" s="208"/>
      <c r="CN160" s="208"/>
      <c r="CO160" s="208"/>
      <c r="CP160" s="208"/>
      <c r="CQ160" s="208"/>
      <c r="CR160" s="208"/>
      <c r="CS160" s="208" t="s">
        <v>1804</v>
      </c>
      <c r="CT160" s="208"/>
      <c r="CU160" s="208"/>
      <c r="CV160" s="208"/>
      <c r="CW160" s="208"/>
      <c r="CX160" s="208"/>
      <c r="CY160" s="208"/>
      <c r="CZ160" s="208"/>
      <c r="DA160" s="208" t="s">
        <v>1805</v>
      </c>
      <c r="DB160" s="208"/>
      <c r="DC160" s="208"/>
      <c r="DD160" s="208"/>
      <c r="DE160" s="208"/>
      <c r="DF160" s="174">
        <v>3</v>
      </c>
      <c r="HB160" s="197">
        <v>157</v>
      </c>
      <c r="HC160" s="194">
        <v>98</v>
      </c>
      <c r="HD160" s="238">
        <v>123.5</v>
      </c>
      <c r="HE160" s="236">
        <v>25</v>
      </c>
      <c r="HF160" s="183">
        <v>222</v>
      </c>
      <c r="HG160" s="193" t="e">
        <f t="shared" si="20"/>
        <v>#N/A</v>
      </c>
      <c r="HH160" s="192" t="e">
        <f t="shared" si="21"/>
        <v>#N/A</v>
      </c>
      <c r="HI160" s="198">
        <v>25</v>
      </c>
      <c r="HJ160" s="185">
        <v>168.5</v>
      </c>
      <c r="HK160" s="174">
        <v>158</v>
      </c>
      <c r="HL160" s="174">
        <v>604</v>
      </c>
      <c r="HM160" s="174">
        <v>692</v>
      </c>
      <c r="HN160" s="174">
        <v>544</v>
      </c>
      <c r="HO160" s="174">
        <v>278</v>
      </c>
      <c r="HP160" s="174">
        <v>268</v>
      </c>
      <c r="HQ160" s="174">
        <v>258</v>
      </c>
      <c r="HR160" s="174">
        <v>248</v>
      </c>
      <c r="HS160" s="174">
        <v>544</v>
      </c>
      <c r="HT160" s="174">
        <v>534</v>
      </c>
      <c r="HU160" s="174">
        <v>258</v>
      </c>
      <c r="HV160" s="174">
        <v>386</v>
      </c>
      <c r="HW160" s="174">
        <v>248</v>
      </c>
      <c r="HX160" s="174">
        <v>238</v>
      </c>
      <c r="HY160" s="174">
        <v>228</v>
      </c>
      <c r="HZ160" s="174">
        <v>218</v>
      </c>
      <c r="IA160" s="174">
        <v>376</v>
      </c>
      <c r="IB160" s="174">
        <v>356</v>
      </c>
      <c r="IC160" s="174">
        <v>218</v>
      </c>
      <c r="ID160" s="174">
        <v>188</v>
      </c>
      <c r="IE160" s="174">
        <v>168</v>
      </c>
      <c r="IF160" s="174">
        <v>160</v>
      </c>
    </row>
    <row r="161" spans="1:256" s="208" customFormat="1" ht="13.35" customHeight="1" thickBot="1" x14ac:dyDescent="0.25">
      <c r="A161" s="212" t="s">
        <v>889</v>
      </c>
      <c r="B161" s="174">
        <v>7</v>
      </c>
      <c r="C161" s="213"/>
      <c r="D161" s="174"/>
      <c r="E161" s="207"/>
      <c r="I161" s="208" t="s">
        <v>4119</v>
      </c>
      <c r="DF161" s="174">
        <v>4</v>
      </c>
      <c r="DG161" s="174"/>
      <c r="DH161" s="174"/>
      <c r="DI161" s="174"/>
      <c r="DJ161" s="174"/>
      <c r="DK161" s="174"/>
      <c r="DL161" s="174"/>
      <c r="DM161" s="174"/>
      <c r="DN161" s="174"/>
      <c r="DO161" s="174"/>
      <c r="DP161" s="174"/>
      <c r="DQ161" s="174"/>
      <c r="DR161" s="174"/>
      <c r="DS161" s="174"/>
      <c r="DT161" s="174"/>
      <c r="DU161" s="174"/>
      <c r="DV161" s="174"/>
      <c r="DW161" s="174"/>
      <c r="DX161" s="174"/>
      <c r="DY161" s="174"/>
      <c r="DZ161" s="174"/>
      <c r="EA161" s="174"/>
      <c r="EB161" s="174"/>
      <c r="EC161" s="174"/>
      <c r="ED161" s="174"/>
      <c r="EE161" s="174"/>
      <c r="EF161" s="174"/>
      <c r="EG161" s="174"/>
      <c r="EH161" s="174"/>
      <c r="EI161" s="174"/>
      <c r="EJ161" s="174"/>
      <c r="EK161" s="174"/>
      <c r="EL161" s="174"/>
      <c r="EM161" s="174"/>
      <c r="EN161" s="174" t="s">
        <v>1806</v>
      </c>
      <c r="EO161" s="185" t="s">
        <v>1043</v>
      </c>
      <c r="EP161" s="174" t="s">
        <v>1043</v>
      </c>
      <c r="EQ161" s="185" t="s">
        <v>892</v>
      </c>
      <c r="ER161" s="185" t="s">
        <v>892</v>
      </c>
      <c r="ES161" s="174" t="s">
        <v>893</v>
      </c>
      <c r="ET161" s="185" t="s">
        <v>893</v>
      </c>
      <c r="EU161" s="185" t="s">
        <v>893</v>
      </c>
      <c r="EV161" s="185" t="s">
        <v>893</v>
      </c>
      <c r="EW161" s="185" t="s">
        <v>893</v>
      </c>
      <c r="EX161" s="185" t="s">
        <v>894</v>
      </c>
      <c r="EY161" s="174" t="s">
        <v>893</v>
      </c>
      <c r="EZ161" s="174" t="s">
        <v>893</v>
      </c>
      <c r="FA161" s="174" t="s">
        <v>893</v>
      </c>
      <c r="FB161" s="185" t="s">
        <v>895</v>
      </c>
      <c r="FC161" s="185" t="s">
        <v>4171</v>
      </c>
      <c r="FD161" s="185" t="s">
        <v>4173</v>
      </c>
      <c r="FE161" s="185" t="s">
        <v>4172</v>
      </c>
      <c r="FF161" s="185" t="s">
        <v>899</v>
      </c>
      <c r="FG161" s="185" t="s">
        <v>900</v>
      </c>
      <c r="FH161" s="185" t="s">
        <v>901</v>
      </c>
      <c r="FI161" s="185" t="s">
        <v>900</v>
      </c>
      <c r="FJ161" s="185" t="s">
        <v>900</v>
      </c>
      <c r="FK161" s="185" t="s">
        <v>900</v>
      </c>
      <c r="FL161" s="185" t="s">
        <v>900</v>
      </c>
      <c r="FM161" s="185" t="s">
        <v>900</v>
      </c>
      <c r="FN161" s="185" t="s">
        <v>900</v>
      </c>
      <c r="FO161" s="185" t="s">
        <v>900</v>
      </c>
      <c r="FP161" s="174" t="s">
        <v>900</v>
      </c>
      <c r="FQ161" s="185" t="s">
        <v>1117</v>
      </c>
      <c r="FR161" s="185" t="s">
        <v>1118</v>
      </c>
      <c r="FS161" s="185" t="s">
        <v>1049</v>
      </c>
      <c r="FT161" s="185" t="s">
        <v>1049</v>
      </c>
      <c r="FU161" s="185" t="s">
        <v>1049</v>
      </c>
      <c r="FV161" s="185" t="s">
        <v>906</v>
      </c>
      <c r="FW161" s="185" t="s">
        <v>906</v>
      </c>
      <c r="FX161" s="185" t="s">
        <v>906</v>
      </c>
      <c r="FY161" s="185" t="s">
        <v>906</v>
      </c>
      <c r="FZ161" s="185" t="s">
        <v>907</v>
      </c>
      <c r="GA161" s="185" t="s">
        <v>907</v>
      </c>
      <c r="GB161" s="185" t="s">
        <v>907</v>
      </c>
      <c r="GC161" s="185" t="s">
        <v>907</v>
      </c>
      <c r="GD161" s="174" t="s">
        <v>907</v>
      </c>
      <c r="GE161" s="185" t="s">
        <v>907</v>
      </c>
      <c r="GF161" s="185" t="s">
        <v>907</v>
      </c>
      <c r="GG161" s="185" t="s">
        <v>907</v>
      </c>
      <c r="GH161" s="185" t="s">
        <v>907</v>
      </c>
      <c r="GI161" s="185" t="s">
        <v>908</v>
      </c>
      <c r="GJ161" s="185" t="s">
        <v>909</v>
      </c>
      <c r="GK161" s="185" t="s">
        <v>910</v>
      </c>
      <c r="GL161" s="185" t="s">
        <v>911</v>
      </c>
      <c r="GM161" s="185" t="s">
        <v>912</v>
      </c>
      <c r="GN161" s="185" t="s">
        <v>913</v>
      </c>
      <c r="GO161" s="185" t="s">
        <v>914</v>
      </c>
      <c r="GP161" s="185" t="s">
        <v>915</v>
      </c>
      <c r="GQ161" s="185" t="s">
        <v>916</v>
      </c>
      <c r="GR161" s="174" t="s">
        <v>916</v>
      </c>
      <c r="GS161" s="174" t="s">
        <v>917</v>
      </c>
      <c r="GT161" s="174" t="s">
        <v>917</v>
      </c>
      <c r="GU161" s="174" t="s">
        <v>917</v>
      </c>
      <c r="GV161" s="174" t="s">
        <v>917</v>
      </c>
      <c r="GW161" s="174" t="s">
        <v>917</v>
      </c>
      <c r="GX161" s="174" t="s">
        <v>917</v>
      </c>
      <c r="GY161" s="174"/>
      <c r="GZ161" s="174"/>
      <c r="HA161" s="174"/>
      <c r="HB161" s="197">
        <v>158</v>
      </c>
      <c r="HC161" s="194">
        <v>98</v>
      </c>
      <c r="HD161" s="238">
        <v>124</v>
      </c>
      <c r="HE161" s="236">
        <v>25</v>
      </c>
      <c r="HF161" s="183">
        <v>223</v>
      </c>
      <c r="HG161" s="193" t="e">
        <f t="shared" si="20"/>
        <v>#N/A</v>
      </c>
      <c r="HH161" s="192" t="e">
        <f t="shared" si="21"/>
        <v>#N/A</v>
      </c>
      <c r="HI161" s="198">
        <v>25</v>
      </c>
      <c r="HJ161" s="185">
        <v>169</v>
      </c>
      <c r="HK161" s="174">
        <v>159</v>
      </c>
      <c r="HL161" s="174">
        <v>607</v>
      </c>
      <c r="HM161" s="174">
        <v>696</v>
      </c>
      <c r="HN161" s="174">
        <v>547</v>
      </c>
      <c r="HO161" s="174">
        <v>279</v>
      </c>
      <c r="HP161" s="174">
        <v>269</v>
      </c>
      <c r="HQ161" s="174">
        <v>259</v>
      </c>
      <c r="HR161" s="174">
        <v>249</v>
      </c>
      <c r="HS161" s="174">
        <v>547</v>
      </c>
      <c r="HT161" s="174">
        <v>537</v>
      </c>
      <c r="HU161" s="174">
        <v>259</v>
      </c>
      <c r="HV161" s="174">
        <v>388</v>
      </c>
      <c r="HW161" s="174">
        <v>249</v>
      </c>
      <c r="HX161" s="174">
        <v>239</v>
      </c>
      <c r="HY161" s="174">
        <v>229</v>
      </c>
      <c r="HZ161" s="174">
        <v>219</v>
      </c>
      <c r="IA161" s="174">
        <v>378</v>
      </c>
      <c r="IB161" s="174">
        <v>358</v>
      </c>
      <c r="IC161" s="174">
        <v>219</v>
      </c>
      <c r="ID161" s="174">
        <v>189</v>
      </c>
      <c r="IE161" s="174">
        <v>169</v>
      </c>
      <c r="IF161" s="174">
        <v>161</v>
      </c>
      <c r="IG161" s="174"/>
      <c r="IH161" s="174"/>
      <c r="II161" s="174"/>
      <c r="IJ161" s="174"/>
      <c r="IK161" s="174"/>
      <c r="IL161" s="174"/>
      <c r="IM161" s="174"/>
      <c r="IN161" s="174"/>
      <c r="IO161" s="174"/>
      <c r="IP161" s="174"/>
    </row>
    <row r="162" spans="1:256" ht="13.35" customHeight="1" thickBot="1" x14ac:dyDescent="0.25">
      <c r="A162" s="214" t="s">
        <v>890</v>
      </c>
      <c r="B162" s="215">
        <v>8</v>
      </c>
      <c r="C162" s="216"/>
      <c r="E162" s="207"/>
      <c r="EO162" s="174" t="s">
        <v>938</v>
      </c>
      <c r="EP162" s="174" t="s">
        <v>939</v>
      </c>
      <c r="EQ162" s="185" t="s">
        <v>940</v>
      </c>
      <c r="ER162" s="174" t="s">
        <v>941</v>
      </c>
      <c r="ES162" s="174" t="s">
        <v>942</v>
      </c>
      <c r="ET162" s="185" t="s">
        <v>943</v>
      </c>
      <c r="EU162" s="185" t="s">
        <v>944</v>
      </c>
      <c r="EV162" s="185" t="s">
        <v>945</v>
      </c>
      <c r="EW162" s="185" t="s">
        <v>946</v>
      </c>
      <c r="EX162" s="185" t="s">
        <v>894</v>
      </c>
      <c r="EY162" s="174" t="s">
        <v>937</v>
      </c>
      <c r="EZ162" s="174" t="s">
        <v>947</v>
      </c>
      <c r="FA162" s="174" t="s">
        <v>948</v>
      </c>
      <c r="FB162" s="185" t="s">
        <v>895</v>
      </c>
      <c r="FC162" s="185" t="s">
        <v>4171</v>
      </c>
      <c r="FD162" s="185" t="s">
        <v>4173</v>
      </c>
      <c r="FE162" s="185" t="s">
        <v>4172</v>
      </c>
      <c r="FF162" s="185" t="s">
        <v>899</v>
      </c>
      <c r="FG162" s="185" t="s">
        <v>949</v>
      </c>
      <c r="FH162" s="185" t="s">
        <v>178</v>
      </c>
      <c r="FI162" s="185" t="s">
        <v>950</v>
      </c>
      <c r="FJ162" s="185" t="s">
        <v>951</v>
      </c>
      <c r="FK162" s="185" t="s">
        <v>952</v>
      </c>
      <c r="FL162" s="185" t="s">
        <v>953</v>
      </c>
      <c r="FM162" s="185" t="s">
        <v>954</v>
      </c>
      <c r="FN162" s="185" t="s">
        <v>955</v>
      </c>
      <c r="FO162" s="185" t="s">
        <v>956</v>
      </c>
      <c r="FP162" s="174" t="s">
        <v>957</v>
      </c>
      <c r="FQ162" s="185" t="s">
        <v>958</v>
      </c>
      <c r="FR162" s="185" t="s">
        <v>959</v>
      </c>
      <c r="FS162" s="185" t="s">
        <v>960</v>
      </c>
      <c r="FT162" s="185" t="s">
        <v>961</v>
      </c>
      <c r="FU162" s="185" t="s">
        <v>962</v>
      </c>
      <c r="FV162" s="185" t="s">
        <v>906</v>
      </c>
      <c r="FW162" s="185" t="s">
        <v>963</v>
      </c>
      <c r="FX162" s="185" t="s">
        <v>964</v>
      </c>
      <c r="FY162" s="185" t="s">
        <v>965</v>
      </c>
      <c r="FZ162" s="185" t="s">
        <v>966</v>
      </c>
      <c r="GA162" s="185" t="s">
        <v>967</v>
      </c>
      <c r="GB162" s="185" t="s">
        <v>968</v>
      </c>
      <c r="GC162" s="185" t="s">
        <v>969</v>
      </c>
      <c r="GD162" s="174" t="s">
        <v>970</v>
      </c>
      <c r="GE162" s="185" t="s">
        <v>971</v>
      </c>
      <c r="GF162" s="185" t="s">
        <v>972</v>
      </c>
      <c r="GG162" s="185" t="s">
        <v>973</v>
      </c>
      <c r="GH162" s="185" t="s">
        <v>974</v>
      </c>
      <c r="GI162" s="185" t="s">
        <v>908</v>
      </c>
      <c r="GJ162" s="185" t="s">
        <v>909</v>
      </c>
      <c r="GK162" s="185" t="s">
        <v>910</v>
      </c>
      <c r="GL162" s="185" t="s">
        <v>911</v>
      </c>
      <c r="GM162" s="185" t="s">
        <v>975</v>
      </c>
      <c r="GN162" s="185" t="s">
        <v>913</v>
      </c>
      <c r="GO162" s="185" t="s">
        <v>914</v>
      </c>
      <c r="GP162" s="185" t="s">
        <v>915</v>
      </c>
      <c r="GQ162" s="185" t="s">
        <v>976</v>
      </c>
      <c r="GR162" s="174" t="s">
        <v>977</v>
      </c>
      <c r="GS162" s="174" t="s">
        <v>978</v>
      </c>
      <c r="GT162" s="174" t="s">
        <v>979</v>
      </c>
      <c r="GU162" s="174" t="s">
        <v>980</v>
      </c>
      <c r="GV162" s="174" t="s">
        <v>981</v>
      </c>
      <c r="GW162" s="174" t="s">
        <v>982</v>
      </c>
      <c r="GX162" s="174" t="s">
        <v>983</v>
      </c>
      <c r="GY162" s="174" t="s">
        <v>984</v>
      </c>
      <c r="GZ162" s="174" t="s">
        <v>985</v>
      </c>
      <c r="HA162" s="174">
        <v>1</v>
      </c>
      <c r="HB162" s="197">
        <v>159</v>
      </c>
      <c r="HC162" s="194">
        <v>100</v>
      </c>
      <c r="HD162" s="238">
        <v>124.5</v>
      </c>
      <c r="HE162" s="236">
        <v>25</v>
      </c>
      <c r="HF162" s="183">
        <v>224</v>
      </c>
      <c r="HG162" s="193" t="e">
        <f t="shared" si="20"/>
        <v>#N/A</v>
      </c>
      <c r="HH162" s="192" t="e">
        <f t="shared" si="21"/>
        <v>#N/A</v>
      </c>
      <c r="HI162" s="198">
        <v>25</v>
      </c>
      <c r="HJ162" s="185">
        <v>169.5</v>
      </c>
      <c r="HK162" s="182">
        <v>160</v>
      </c>
      <c r="HL162" s="182">
        <v>610</v>
      </c>
      <c r="HM162" s="182">
        <v>700</v>
      </c>
      <c r="HN162" s="182">
        <v>550</v>
      </c>
      <c r="HO162" s="182">
        <v>280</v>
      </c>
      <c r="HP162" s="182">
        <v>270</v>
      </c>
      <c r="HQ162" s="182">
        <v>260</v>
      </c>
      <c r="HR162" s="182">
        <v>250</v>
      </c>
      <c r="HS162" s="174">
        <v>550</v>
      </c>
      <c r="HT162" s="174">
        <v>540</v>
      </c>
      <c r="HU162" s="182">
        <v>260</v>
      </c>
      <c r="HV162" s="182">
        <v>390</v>
      </c>
      <c r="HW162" s="182">
        <v>250</v>
      </c>
      <c r="HX162" s="182">
        <v>240</v>
      </c>
      <c r="HY162" s="182">
        <v>230</v>
      </c>
      <c r="HZ162" s="182">
        <v>220</v>
      </c>
      <c r="IA162" s="174">
        <v>380</v>
      </c>
      <c r="IB162" s="182">
        <v>360</v>
      </c>
      <c r="IC162" s="182">
        <v>220</v>
      </c>
      <c r="ID162" s="182">
        <v>190</v>
      </c>
      <c r="IE162" s="182">
        <v>170</v>
      </c>
      <c r="IF162" s="182">
        <v>162</v>
      </c>
    </row>
    <row r="163" spans="1:256" ht="13.35" customHeight="1" thickBot="1" x14ac:dyDescent="0.25">
      <c r="E163" s="217" t="s">
        <v>1807</v>
      </c>
      <c r="F163" s="174" t="s">
        <v>782</v>
      </c>
      <c r="G163" s="174" t="s">
        <v>783</v>
      </c>
      <c r="H163" s="174" t="s">
        <v>784</v>
      </c>
      <c r="I163" s="174" t="s">
        <v>785</v>
      </c>
      <c r="J163" s="174" t="s">
        <v>786</v>
      </c>
      <c r="K163" s="174" t="s">
        <v>787</v>
      </c>
      <c r="L163" s="174" t="s">
        <v>788</v>
      </c>
      <c r="M163" s="174" t="s">
        <v>789</v>
      </c>
      <c r="N163" s="174" t="s">
        <v>790</v>
      </c>
      <c r="O163" s="174" t="s">
        <v>791</v>
      </c>
      <c r="P163" s="174" t="s">
        <v>792</v>
      </c>
      <c r="Q163" s="174" t="s">
        <v>793</v>
      </c>
      <c r="R163" s="174" t="s">
        <v>794</v>
      </c>
      <c r="S163" s="174" t="s">
        <v>182</v>
      </c>
      <c r="T163" s="174" t="s">
        <v>795</v>
      </c>
      <c r="U163" s="174" t="s">
        <v>796</v>
      </c>
      <c r="V163" s="174" t="s">
        <v>797</v>
      </c>
      <c r="W163" s="174" t="s">
        <v>798</v>
      </c>
      <c r="X163" s="174" t="s">
        <v>799</v>
      </c>
      <c r="Y163" s="174" t="s">
        <v>800</v>
      </c>
      <c r="AA163" s="174" t="str">
        <f>AA158</f>
        <v>Arcanist (AC)</v>
      </c>
      <c r="AB163" s="174" t="str">
        <f>AB158</f>
        <v>Wizard (AC)</v>
      </c>
      <c r="AC163" s="174" t="str">
        <f>AC158</f>
        <v>Chaotic (AC)</v>
      </c>
      <c r="AD163" s="174" t="str">
        <f>AD158</f>
        <v>Magehunter (AC)</v>
      </c>
      <c r="AF163" s="174" t="s">
        <v>805</v>
      </c>
      <c r="AG163" s="174" t="s">
        <v>806</v>
      </c>
      <c r="AH163" s="174" t="s">
        <v>807</v>
      </c>
      <c r="AJ163" s="174" t="s">
        <v>808</v>
      </c>
      <c r="AK163" s="174" t="s">
        <v>809</v>
      </c>
      <c r="AL163" s="174" t="s">
        <v>810</v>
      </c>
      <c r="AM163" s="174" t="s">
        <v>811</v>
      </c>
      <c r="AO163" s="174" t="s">
        <v>812</v>
      </c>
      <c r="AP163" s="174" t="s">
        <v>813</v>
      </c>
      <c r="AQ163" s="174" t="s">
        <v>814</v>
      </c>
      <c r="AS163" s="174" t="s">
        <v>815</v>
      </c>
      <c r="AT163" s="174" t="s">
        <v>816</v>
      </c>
      <c r="AU163" s="174" t="s">
        <v>817</v>
      </c>
      <c r="AV163" s="174" t="s">
        <v>818</v>
      </c>
      <c r="AW163" s="174" t="s">
        <v>819</v>
      </c>
      <c r="AX163" s="174" t="s">
        <v>820</v>
      </c>
      <c r="AY163" s="174" t="s">
        <v>821</v>
      </c>
      <c r="AZ163" s="174" t="s">
        <v>822</v>
      </c>
      <c r="BA163" s="174" t="str">
        <f t="shared" ref="BA163:CQ163" si="24">BA158</f>
        <v>Priest of Culture</v>
      </c>
      <c r="BB163" s="174" t="str">
        <f t="shared" si="24"/>
        <v>Priest of Darkness, Night</v>
      </c>
      <c r="BC163" s="174" t="str">
        <f t="shared" si="24"/>
        <v>Priest of Dawn</v>
      </c>
      <c r="BD163" s="174" t="str">
        <f t="shared" si="24"/>
        <v>Priest of Death</v>
      </c>
      <c r="BE163" s="174" t="str">
        <f t="shared" si="24"/>
        <v>Priest of Disease</v>
      </c>
      <c r="BF163" s="174" t="str">
        <f t="shared" si="24"/>
        <v>Priest of Earth</v>
      </c>
      <c r="BG163" s="174" t="str">
        <f t="shared" si="24"/>
        <v>Priest of Fate, Destiny</v>
      </c>
      <c r="BH163" s="174" t="str">
        <f t="shared" si="24"/>
        <v>Priest of Fertility</v>
      </c>
      <c r="BI163" s="174" t="str">
        <f t="shared" si="24"/>
        <v>Priest of Fire</v>
      </c>
      <c r="BJ163" s="174" t="str">
        <f t="shared" si="24"/>
        <v>Priest of Fortune, Luck</v>
      </c>
      <c r="BK163" s="174" t="str">
        <f t="shared" si="24"/>
        <v>Priest of Guardianship</v>
      </c>
      <c r="BL163" s="174" t="str">
        <f t="shared" si="24"/>
        <v>Priest of Healing</v>
      </c>
      <c r="BM163" s="174" t="str">
        <f t="shared" si="24"/>
        <v>Priest of Hunting</v>
      </c>
      <c r="BN163" s="174" t="str">
        <f t="shared" si="24"/>
        <v>Priest of Justice, Revenge</v>
      </c>
      <c r="BO163" s="174" t="str">
        <f t="shared" si="24"/>
        <v>Priest of Light</v>
      </c>
      <c r="BP163" s="174" t="str">
        <f t="shared" si="24"/>
        <v>Priest of Lightning</v>
      </c>
      <c r="BQ163" s="174" t="str">
        <f t="shared" si="24"/>
        <v>Priest of Literature</v>
      </c>
      <c r="BR163" s="174" t="str">
        <f t="shared" si="24"/>
        <v>Priest of Love</v>
      </c>
      <c r="BS163" s="174" t="str">
        <f t="shared" si="24"/>
        <v>Priest of Magic</v>
      </c>
      <c r="BT163" s="174" t="str">
        <f t="shared" si="24"/>
        <v>Priest of Marriage</v>
      </c>
      <c r="BU163" s="174" t="str">
        <f t="shared" si="24"/>
        <v>Priest of Messengers</v>
      </c>
      <c r="BV163" s="174" t="str">
        <f t="shared" si="24"/>
        <v>Priest of Metalwork</v>
      </c>
      <c r="BW163" s="174" t="str">
        <f t="shared" si="24"/>
        <v>Priest of Mischief/Trickery</v>
      </c>
      <c r="BX163" s="174" t="str">
        <f t="shared" si="24"/>
        <v>Priest of Moon</v>
      </c>
      <c r="BY163" s="174" t="str">
        <f t="shared" si="24"/>
        <v>Priest of Music, Dance</v>
      </c>
      <c r="BZ163" s="174" t="str">
        <f t="shared" si="24"/>
        <v>Priest of Nature</v>
      </c>
      <c r="CA163" s="174" t="str">
        <f t="shared" si="24"/>
        <v>Priest of Ocean, Rivers</v>
      </c>
      <c r="CB163" s="174" t="str">
        <f t="shared" si="24"/>
        <v>Priest of Oracles</v>
      </c>
      <c r="CC163" s="174" t="str">
        <f t="shared" si="24"/>
        <v>Priest of Peace</v>
      </c>
      <c r="CD163" s="174" t="str">
        <f t="shared" si="24"/>
        <v>Priest of Prosperity</v>
      </c>
      <c r="CE163" s="174" t="str">
        <f t="shared" si="24"/>
        <v>Priest of Redemption</v>
      </c>
      <c r="CF163" s="174" t="str">
        <f t="shared" si="24"/>
        <v>Priest of Rulership</v>
      </c>
      <c r="CG163" s="174" t="str">
        <f t="shared" si="24"/>
        <v>Priest of Seasons</v>
      </c>
      <c r="CH163" s="174" t="str">
        <f t="shared" si="24"/>
        <v>Priest of Sky, Weather</v>
      </c>
      <c r="CI163" s="174" t="str">
        <f t="shared" si="24"/>
        <v>Priest of Strength</v>
      </c>
      <c r="CJ163" s="174" t="str">
        <f t="shared" si="24"/>
        <v>Priest of Sun</v>
      </c>
      <c r="CK163" s="174" t="str">
        <f t="shared" si="24"/>
        <v>Priest of Thunder</v>
      </c>
      <c r="CL163" s="174" t="str">
        <f t="shared" si="24"/>
        <v>Priest of Time</v>
      </c>
      <c r="CM163" s="174" t="str">
        <f t="shared" si="24"/>
        <v>Priest of Trade</v>
      </c>
      <c r="CN163" s="174" t="str">
        <f t="shared" si="24"/>
        <v>Priest of Vegetation</v>
      </c>
      <c r="CO163" s="174" t="str">
        <f t="shared" si="24"/>
        <v>Priest of War</v>
      </c>
      <c r="CP163" s="174" t="str">
        <f t="shared" si="24"/>
        <v>Priest of Wind</v>
      </c>
      <c r="CQ163" s="174" t="str">
        <f t="shared" si="24"/>
        <v>Priest of Wisdom</v>
      </c>
      <c r="CS163" s="174" t="str">
        <f>CS158</f>
        <v>Barbarian (FRP)</v>
      </c>
      <c r="CT163" s="174" t="str">
        <f>CT158</f>
        <v>Outrider (FRP)</v>
      </c>
      <c r="CU163" s="174" t="str">
        <f>CU158</f>
        <v>Sage (FRP)</v>
      </c>
      <c r="CV163" s="174" t="str">
        <f>CV158</f>
        <v>Swashbuckler (FRP)</v>
      </c>
      <c r="CX163" s="174" t="s">
        <v>870</v>
      </c>
      <c r="CY163" s="174" t="s">
        <v>871</v>
      </c>
      <c r="CZ163" s="174" t="s">
        <v>872</v>
      </c>
      <c r="DA163" s="174" t="s">
        <v>1149</v>
      </c>
      <c r="DB163" s="174" t="s">
        <v>874</v>
      </c>
      <c r="DC163" s="174" t="s">
        <v>875</v>
      </c>
      <c r="DD163" s="174" t="s">
        <v>876</v>
      </c>
      <c r="DE163" s="174" t="str">
        <f>DE158</f>
        <v>NEW PROF</v>
      </c>
      <c r="DF163" s="174">
        <v>1</v>
      </c>
      <c r="EO163" s="174" t="s">
        <v>1808</v>
      </c>
      <c r="EP163" s="174" t="s">
        <v>1808</v>
      </c>
      <c r="EQ163" s="174" t="s">
        <v>1809</v>
      </c>
      <c r="ER163" s="174" t="s">
        <v>1810</v>
      </c>
      <c r="ES163" s="174" t="s">
        <v>1810</v>
      </c>
      <c r="ET163" s="174" t="s">
        <v>1809</v>
      </c>
      <c r="EU163" s="174" t="s">
        <v>1810</v>
      </c>
      <c r="EV163" s="174" t="s">
        <v>1809</v>
      </c>
      <c r="EW163" s="174" t="s">
        <v>1809</v>
      </c>
      <c r="EX163" s="174" t="s">
        <v>1809</v>
      </c>
      <c r="EY163" s="174" t="s">
        <v>1810</v>
      </c>
      <c r="EZ163" s="174" t="s">
        <v>1810</v>
      </c>
      <c r="FA163" s="174" t="s">
        <v>1810</v>
      </c>
      <c r="FB163" s="174" t="s">
        <v>1809</v>
      </c>
      <c r="FC163" s="174" t="s">
        <v>1809</v>
      </c>
      <c r="FD163" s="174" t="s">
        <v>1809</v>
      </c>
      <c r="FE163" s="174" t="s">
        <v>1809</v>
      </c>
      <c r="FF163" s="174" t="s">
        <v>1809</v>
      </c>
      <c r="FG163" s="174" t="s">
        <v>1808</v>
      </c>
      <c r="FH163" s="174" t="s">
        <v>1809</v>
      </c>
      <c r="FI163" s="174" t="s">
        <v>1810</v>
      </c>
      <c r="FJ163" s="174" t="s">
        <v>1810</v>
      </c>
      <c r="FK163" s="174" t="s">
        <v>1811</v>
      </c>
      <c r="FL163" s="174" t="s">
        <v>1811</v>
      </c>
      <c r="FM163" s="174" t="s">
        <v>1811</v>
      </c>
      <c r="FN163" s="174" t="s">
        <v>1811</v>
      </c>
      <c r="FO163" s="174" t="s">
        <v>1812</v>
      </c>
      <c r="FP163" s="174" t="s">
        <v>1812</v>
      </c>
      <c r="FQ163" s="174" t="s">
        <v>1813</v>
      </c>
      <c r="FR163" s="174" t="s">
        <v>1813</v>
      </c>
      <c r="FS163" s="174" t="s">
        <v>1809</v>
      </c>
      <c r="FT163" s="174" t="s">
        <v>1809</v>
      </c>
      <c r="FU163" s="174" t="s">
        <v>1809</v>
      </c>
      <c r="FV163" s="174" t="s">
        <v>1809</v>
      </c>
      <c r="FW163" s="174" t="s">
        <v>1809</v>
      </c>
      <c r="FX163" s="174" t="s">
        <v>1809</v>
      </c>
      <c r="FY163" s="174" t="s">
        <v>1809</v>
      </c>
      <c r="FZ163" s="174" t="s">
        <v>1814</v>
      </c>
      <c r="GC163" s="174" t="s">
        <v>1814</v>
      </c>
      <c r="GH163" s="174" t="s">
        <v>1814</v>
      </c>
      <c r="GJ163" s="174" t="s">
        <v>1809</v>
      </c>
      <c r="GL163" s="174" t="s">
        <v>1809</v>
      </c>
      <c r="GM163" s="174" t="s">
        <v>1812</v>
      </c>
      <c r="GN163" s="174" t="s">
        <v>1812</v>
      </c>
      <c r="HA163" s="174">
        <v>2</v>
      </c>
      <c r="HB163" s="197">
        <v>160</v>
      </c>
      <c r="HC163" s="194">
        <v>100</v>
      </c>
      <c r="HD163" s="238">
        <v>125</v>
      </c>
      <c r="HE163" s="236">
        <v>25</v>
      </c>
      <c r="HF163" s="183">
        <v>225</v>
      </c>
      <c r="HG163" s="193" t="e">
        <f t="shared" si="20"/>
        <v>#N/A</v>
      </c>
      <c r="HH163" s="192" t="e">
        <f t="shared" si="21"/>
        <v>#N/A</v>
      </c>
      <c r="HI163" s="198">
        <v>25</v>
      </c>
      <c r="HJ163" s="185">
        <v>170</v>
      </c>
      <c r="HK163" s="174">
        <v>161</v>
      </c>
      <c r="HL163" s="174">
        <v>613</v>
      </c>
      <c r="HM163" s="174">
        <v>704</v>
      </c>
      <c r="HN163" s="174">
        <v>553</v>
      </c>
      <c r="HO163" s="174">
        <v>281</v>
      </c>
      <c r="HP163" s="174">
        <v>271</v>
      </c>
      <c r="HQ163" s="174">
        <v>261</v>
      </c>
      <c r="HR163" s="174">
        <v>251</v>
      </c>
      <c r="HS163" s="174">
        <v>553</v>
      </c>
      <c r="HT163" s="174">
        <v>543</v>
      </c>
      <c r="HU163" s="174">
        <v>261</v>
      </c>
      <c r="HV163" s="174">
        <v>392</v>
      </c>
      <c r="HW163" s="174">
        <v>251</v>
      </c>
      <c r="HX163" s="174">
        <v>241</v>
      </c>
      <c r="HY163" s="174">
        <v>231</v>
      </c>
      <c r="HZ163" s="174">
        <v>221</v>
      </c>
      <c r="IA163" s="174">
        <v>382</v>
      </c>
      <c r="IB163" s="174">
        <v>362</v>
      </c>
      <c r="IC163" s="174">
        <v>221</v>
      </c>
      <c r="ID163" s="174">
        <v>191</v>
      </c>
      <c r="IE163" s="174">
        <v>171</v>
      </c>
      <c r="IF163" s="174">
        <v>163</v>
      </c>
    </row>
    <row r="164" spans="1:256" ht="13.35" customHeight="1" thickBot="1" x14ac:dyDescent="0.25">
      <c r="A164" s="174">
        <v>1</v>
      </c>
      <c r="B164" s="174">
        <v>2</v>
      </c>
      <c r="E164" s="207"/>
      <c r="F164" s="218" t="s">
        <v>248</v>
      </c>
      <c r="G164" s="218" t="s">
        <v>581</v>
      </c>
      <c r="H164" s="218" t="s">
        <v>248</v>
      </c>
      <c r="I164" s="218" t="s">
        <v>248</v>
      </c>
      <c r="J164" s="218" t="s">
        <v>1815</v>
      </c>
      <c r="K164" s="218" t="s">
        <v>248</v>
      </c>
      <c r="L164" s="218" t="s">
        <v>248</v>
      </c>
      <c r="M164" s="218" t="s">
        <v>1703</v>
      </c>
      <c r="N164" s="218" t="s">
        <v>1137</v>
      </c>
      <c r="O164" s="218" t="s">
        <v>248</v>
      </c>
      <c r="P164" s="218" t="s">
        <v>681</v>
      </c>
      <c r="Q164" s="218" t="s">
        <v>602</v>
      </c>
      <c r="R164" s="218" t="s">
        <v>248</v>
      </c>
      <c r="S164" s="218" t="s">
        <v>248</v>
      </c>
      <c r="T164" s="218" t="s">
        <v>248</v>
      </c>
      <c r="U164" s="218" t="s">
        <v>1703</v>
      </c>
      <c r="V164" s="218" t="s">
        <v>650</v>
      </c>
      <c r="W164" s="218" t="s">
        <v>581</v>
      </c>
      <c r="X164" s="218" t="s">
        <v>248</v>
      </c>
      <c r="Y164" s="218" t="s">
        <v>248</v>
      </c>
      <c r="Z164" s="218"/>
      <c r="AA164" s="218" t="s">
        <v>248</v>
      </c>
      <c r="AB164" s="218" t="s">
        <v>248</v>
      </c>
      <c r="AC164" s="218" t="s">
        <v>248</v>
      </c>
      <c r="AD164" s="218" t="s">
        <v>248</v>
      </c>
      <c r="AE164" s="218"/>
      <c r="AF164" s="218" t="s">
        <v>1816</v>
      </c>
      <c r="AG164" s="218" t="s">
        <v>248</v>
      </c>
      <c r="AH164" s="218" t="s">
        <v>248</v>
      </c>
      <c r="AI164" s="218"/>
      <c r="AJ164" s="218" t="s">
        <v>1817</v>
      </c>
      <c r="AK164" s="218" t="s">
        <v>248</v>
      </c>
      <c r="AL164" s="218" t="s">
        <v>619</v>
      </c>
      <c r="AM164" s="218" t="s">
        <v>634</v>
      </c>
      <c r="AN164" s="218"/>
      <c r="AO164" s="218" t="s">
        <v>248</v>
      </c>
      <c r="AP164" s="218" t="s">
        <v>248</v>
      </c>
      <c r="AQ164" s="218" t="s">
        <v>1703</v>
      </c>
      <c r="AR164" s="218"/>
      <c r="AS164" s="218" t="s">
        <v>531</v>
      </c>
      <c r="AT164" s="218" t="s">
        <v>1290</v>
      </c>
      <c r="AU164" s="218" t="s">
        <v>1177</v>
      </c>
      <c r="AV164" s="218" t="s">
        <v>1818</v>
      </c>
      <c r="AW164" s="218" t="s">
        <v>711</v>
      </c>
      <c r="AX164" s="218" t="s">
        <v>1290</v>
      </c>
      <c r="AY164" s="218" t="s">
        <v>1819</v>
      </c>
      <c r="AZ164" s="218" t="s">
        <v>1820</v>
      </c>
      <c r="BA164" s="218" t="s">
        <v>248</v>
      </c>
      <c r="BB164" s="218" t="s">
        <v>1140</v>
      </c>
      <c r="BC164" s="218" t="s">
        <v>494</v>
      </c>
      <c r="BD164" s="218" t="s">
        <v>1703</v>
      </c>
      <c r="BE164" s="218" t="s">
        <v>1137</v>
      </c>
      <c r="BF164" s="218" t="s">
        <v>1821</v>
      </c>
      <c r="BG164" s="218" t="s">
        <v>1307</v>
      </c>
      <c r="BH164" s="218" t="s">
        <v>1137</v>
      </c>
      <c r="BI164" s="218" t="s">
        <v>1124</v>
      </c>
      <c r="BJ164" s="218" t="s">
        <v>1307</v>
      </c>
      <c r="BK164" s="218" t="s">
        <v>480</v>
      </c>
      <c r="BL164" s="218" t="s">
        <v>681</v>
      </c>
      <c r="BM164" s="218" t="s">
        <v>1139</v>
      </c>
      <c r="BN164" s="218" t="s">
        <v>491</v>
      </c>
      <c r="BO164" s="218" t="s">
        <v>494</v>
      </c>
      <c r="BP164" s="218" t="s">
        <v>616</v>
      </c>
      <c r="BQ164" s="218" t="s">
        <v>248</v>
      </c>
      <c r="BR164" s="218" t="s">
        <v>1137</v>
      </c>
      <c r="BS164" s="218" t="s">
        <v>571</v>
      </c>
      <c r="BT164" s="218" t="s">
        <v>1703</v>
      </c>
      <c r="BU164" s="218" t="s">
        <v>248</v>
      </c>
      <c r="BV164" s="218" t="s">
        <v>1822</v>
      </c>
      <c r="BW164" s="218" t="s">
        <v>667</v>
      </c>
      <c r="BX164" s="218" t="s">
        <v>1308</v>
      </c>
      <c r="BY164" s="218" t="s">
        <v>1823</v>
      </c>
      <c r="BZ164" s="218" t="s">
        <v>531</v>
      </c>
      <c r="CA164" s="218" t="s">
        <v>452</v>
      </c>
      <c r="CB164" s="218" t="s">
        <v>619</v>
      </c>
      <c r="CC164" s="218" t="s">
        <v>1824</v>
      </c>
      <c r="CD164" s="218" t="s">
        <v>702</v>
      </c>
      <c r="CE164" s="218" t="s">
        <v>1703</v>
      </c>
      <c r="CF164" s="218" t="s">
        <v>1825</v>
      </c>
      <c r="CG164" s="218" t="s">
        <v>616</v>
      </c>
      <c r="CH164" s="218" t="s">
        <v>616</v>
      </c>
      <c r="CI164" s="218" t="s">
        <v>1826</v>
      </c>
      <c r="CJ164" s="218" t="s">
        <v>681</v>
      </c>
      <c r="CK164" s="218" t="s">
        <v>616</v>
      </c>
      <c r="CL164" s="218" t="s">
        <v>1290</v>
      </c>
      <c r="CM164" s="218" t="s">
        <v>555</v>
      </c>
      <c r="CN164" s="218" t="s">
        <v>1137</v>
      </c>
      <c r="CO164" s="218" t="s">
        <v>695</v>
      </c>
      <c r="CP164" s="218" t="s">
        <v>616</v>
      </c>
      <c r="CQ164" s="218" t="s">
        <v>1703</v>
      </c>
      <c r="CR164" s="218"/>
      <c r="CS164" s="218" t="s">
        <v>248</v>
      </c>
      <c r="CT164" s="218" t="s">
        <v>248</v>
      </c>
      <c r="CU164" s="218" t="s">
        <v>629</v>
      </c>
      <c r="CV164" s="218" t="s">
        <v>514</v>
      </c>
      <c r="CW164" s="218"/>
      <c r="CX164" s="218" t="s">
        <v>681</v>
      </c>
      <c r="CY164" s="218" t="s">
        <v>1703</v>
      </c>
      <c r="CZ164" s="218" t="s">
        <v>1137</v>
      </c>
      <c r="DA164" s="218"/>
      <c r="DB164" s="218" t="s">
        <v>1827</v>
      </c>
      <c r="DC164" s="218" t="s">
        <v>1827</v>
      </c>
      <c r="DD164" s="218" t="s">
        <v>1827</v>
      </c>
      <c r="DE164" s="218"/>
      <c r="DF164" s="174">
        <v>2</v>
      </c>
      <c r="EO164" s="174" t="s">
        <v>1812</v>
      </c>
      <c r="EP164" s="174" t="s">
        <v>1812</v>
      </c>
      <c r="EQ164" s="174" t="s">
        <v>1811</v>
      </c>
      <c r="ER164" s="174" t="s">
        <v>1808</v>
      </c>
      <c r="ES164" s="174" t="s">
        <v>1808</v>
      </c>
      <c r="ET164" s="174" t="s">
        <v>1808</v>
      </c>
      <c r="EU164" s="174" t="s">
        <v>1808</v>
      </c>
      <c r="EV164" s="174" t="s">
        <v>1828</v>
      </c>
      <c r="EW164" s="174" t="s">
        <v>1828</v>
      </c>
      <c r="EX164" s="174" t="s">
        <v>1828</v>
      </c>
      <c r="EY164" s="174" t="s">
        <v>1808</v>
      </c>
      <c r="EZ164" s="174" t="s">
        <v>1808</v>
      </c>
      <c r="FA164" s="174" t="s">
        <v>1808</v>
      </c>
      <c r="FB164" s="174" t="s">
        <v>1811</v>
      </c>
      <c r="FC164" s="174" t="s">
        <v>1808</v>
      </c>
      <c r="FD164" s="174" t="s">
        <v>1811</v>
      </c>
      <c r="FE164" s="174" t="s">
        <v>1808</v>
      </c>
      <c r="FF164" s="174" t="s">
        <v>1808</v>
      </c>
      <c r="FG164" s="174" t="s">
        <v>1809</v>
      </c>
      <c r="FH164" s="174" t="s">
        <v>1811</v>
      </c>
      <c r="FI164" s="174" t="s">
        <v>1829</v>
      </c>
      <c r="FJ164" s="174" t="s">
        <v>1811</v>
      </c>
      <c r="FK164" s="174" t="s">
        <v>1809</v>
      </c>
      <c r="FL164" s="174" t="s">
        <v>1809</v>
      </c>
      <c r="FM164" s="174" t="s">
        <v>1809</v>
      </c>
      <c r="FN164" s="174" t="s">
        <v>1809</v>
      </c>
      <c r="FO164" s="174" t="s">
        <v>1809</v>
      </c>
      <c r="FP164" s="174" t="s">
        <v>1809</v>
      </c>
      <c r="FQ164" s="174" t="s">
        <v>1828</v>
      </c>
      <c r="FR164" s="174" t="s">
        <v>1828</v>
      </c>
      <c r="FS164" s="174" t="s">
        <v>1811</v>
      </c>
      <c r="FT164" s="174" t="s">
        <v>1811</v>
      </c>
      <c r="FU164" s="174" t="s">
        <v>1811</v>
      </c>
      <c r="FV164" s="174" t="s">
        <v>1830</v>
      </c>
      <c r="FW164" s="174" t="s">
        <v>1831</v>
      </c>
      <c r="FX164" s="174" t="s">
        <v>1831</v>
      </c>
      <c r="FY164" s="174" t="s">
        <v>1832</v>
      </c>
      <c r="FZ164" s="174" t="s">
        <v>1809</v>
      </c>
      <c r="GC164" s="174" t="s">
        <v>1809</v>
      </c>
      <c r="GH164" s="174" t="s">
        <v>1809</v>
      </c>
      <c r="GJ164" s="174" t="s">
        <v>1828</v>
      </c>
      <c r="GL164" s="174" t="s">
        <v>1811</v>
      </c>
      <c r="GM164" s="174" t="s">
        <v>1809</v>
      </c>
      <c r="GN164" s="174" t="s">
        <v>1809</v>
      </c>
      <c r="HA164" s="174">
        <v>3</v>
      </c>
      <c r="HB164" s="197">
        <v>161</v>
      </c>
      <c r="HC164" s="194">
        <v>101</v>
      </c>
      <c r="HD164" s="238">
        <v>125.5</v>
      </c>
      <c r="HE164" s="236">
        <v>25</v>
      </c>
      <c r="HF164" s="183">
        <v>226</v>
      </c>
      <c r="HG164" s="193" t="e">
        <f t="shared" si="20"/>
        <v>#N/A</v>
      </c>
      <c r="HH164" s="192" t="e">
        <f t="shared" si="21"/>
        <v>#N/A</v>
      </c>
      <c r="HI164" s="198">
        <v>25</v>
      </c>
      <c r="HJ164" s="185">
        <v>170.5</v>
      </c>
      <c r="HK164" s="174">
        <v>162</v>
      </c>
      <c r="HL164" s="174">
        <v>616</v>
      </c>
      <c r="HM164" s="174">
        <v>708</v>
      </c>
      <c r="HN164" s="174">
        <v>556</v>
      </c>
      <c r="HO164" s="174">
        <v>282</v>
      </c>
      <c r="HP164" s="174">
        <v>272</v>
      </c>
      <c r="HQ164" s="174">
        <v>262</v>
      </c>
      <c r="HR164" s="174">
        <v>252</v>
      </c>
      <c r="HS164" s="174">
        <v>556</v>
      </c>
      <c r="HT164" s="174">
        <v>546</v>
      </c>
      <c r="HU164" s="174">
        <v>262</v>
      </c>
      <c r="HV164" s="174">
        <v>394</v>
      </c>
      <c r="HW164" s="174">
        <v>252</v>
      </c>
      <c r="HX164" s="174">
        <v>242</v>
      </c>
      <c r="HY164" s="174">
        <v>232</v>
      </c>
      <c r="HZ164" s="174">
        <v>222</v>
      </c>
      <c r="IA164" s="174">
        <v>384</v>
      </c>
      <c r="IB164" s="174">
        <v>364</v>
      </c>
      <c r="IC164" s="174">
        <v>222</v>
      </c>
      <c r="ID164" s="174">
        <v>192</v>
      </c>
      <c r="IE164" s="174">
        <v>172</v>
      </c>
      <c r="IF164" s="174">
        <v>164</v>
      </c>
    </row>
    <row r="165" spans="1:256" s="218" customFormat="1" ht="13.35" customHeight="1" thickBot="1" x14ac:dyDescent="0.25">
      <c r="A165" s="174" t="s">
        <v>1833</v>
      </c>
      <c r="B165" s="174" t="s">
        <v>1834</v>
      </c>
      <c r="C165" s="174"/>
      <c r="D165" s="174"/>
      <c r="E165" s="207"/>
      <c r="M165" s="218" t="s">
        <v>619</v>
      </c>
      <c r="P165" s="218" t="s">
        <v>433</v>
      </c>
      <c r="Q165" s="218" t="s">
        <v>681</v>
      </c>
      <c r="AL165" s="218" t="s">
        <v>650</v>
      </c>
      <c r="AM165" s="218" t="s">
        <v>1307</v>
      </c>
      <c r="BB165" s="218" t="s">
        <v>634</v>
      </c>
      <c r="BG165" s="218" t="s">
        <v>619</v>
      </c>
      <c r="BH165" s="218" t="s">
        <v>1726</v>
      </c>
      <c r="BJ165" s="218" t="s">
        <v>634</v>
      </c>
      <c r="BK165" s="218" t="s">
        <v>1753</v>
      </c>
      <c r="BR165" s="218" t="s">
        <v>1726</v>
      </c>
      <c r="BW165" s="218" t="s">
        <v>549</v>
      </c>
      <c r="BX165" s="218" t="s">
        <v>1307</v>
      </c>
      <c r="BZ165" s="218" t="s">
        <v>561</v>
      </c>
      <c r="CI165" s="218" t="s">
        <v>1819</v>
      </c>
      <c r="CL165" s="218" t="s">
        <v>505</v>
      </c>
      <c r="CM165" s="218" t="s">
        <v>702</v>
      </c>
      <c r="CN165" s="218" t="s">
        <v>1726</v>
      </c>
      <c r="CO165" s="218" t="s">
        <v>1741</v>
      </c>
      <c r="CX165" s="218" t="s">
        <v>1137</v>
      </c>
      <c r="CY165" s="218" t="s">
        <v>619</v>
      </c>
      <c r="DF165" s="174">
        <v>3</v>
      </c>
      <c r="DG165" s="174"/>
      <c r="DH165" s="174"/>
      <c r="DI165" s="174"/>
      <c r="DJ165" s="174"/>
      <c r="DK165" s="174"/>
      <c r="DL165" s="174"/>
      <c r="DM165" s="174"/>
      <c r="DN165" s="174"/>
      <c r="DO165" s="174"/>
      <c r="DP165" s="174"/>
      <c r="DQ165" s="174"/>
      <c r="DR165" s="174"/>
      <c r="DS165" s="174"/>
      <c r="DT165" s="174"/>
      <c r="DU165" s="174"/>
      <c r="DV165" s="174"/>
      <c r="DW165" s="174"/>
      <c r="DX165" s="174"/>
      <c r="DY165" s="174"/>
      <c r="DZ165" s="174"/>
      <c r="EA165" s="174"/>
      <c r="EB165" s="174"/>
      <c r="EC165" s="174"/>
      <c r="ED165" s="174"/>
      <c r="EE165" s="174"/>
      <c r="EF165" s="174"/>
      <c r="EG165" s="174"/>
      <c r="EH165" s="174"/>
      <c r="EI165" s="174"/>
      <c r="EJ165" s="174"/>
      <c r="EK165" s="174"/>
      <c r="EL165" s="174"/>
      <c r="EM165" s="174"/>
      <c r="EN165" s="174"/>
      <c r="EO165" s="174" t="s">
        <v>1809</v>
      </c>
      <c r="EP165" s="174" t="s">
        <v>1809</v>
      </c>
      <c r="EQ165" s="174" t="s">
        <v>1812</v>
      </c>
      <c r="ER165" s="174" t="s">
        <v>1835</v>
      </c>
      <c r="ES165" s="174" t="s">
        <v>1835</v>
      </c>
      <c r="ET165" s="174" t="s">
        <v>1836</v>
      </c>
      <c r="EU165" s="174" t="s">
        <v>1835</v>
      </c>
      <c r="EV165" s="174" t="s">
        <v>1808</v>
      </c>
      <c r="EW165" s="174" t="s">
        <v>1808</v>
      </c>
      <c r="EX165" s="174" t="s">
        <v>1808</v>
      </c>
      <c r="EY165" s="174" t="s">
        <v>1835</v>
      </c>
      <c r="EZ165" s="174" t="s">
        <v>1835</v>
      </c>
      <c r="FA165" s="174" t="s">
        <v>1835</v>
      </c>
      <c r="FB165" s="174" t="s">
        <v>1836</v>
      </c>
      <c r="FC165" s="174" t="s">
        <v>1837</v>
      </c>
      <c r="FD165" s="174" t="s">
        <v>1808</v>
      </c>
      <c r="FE165" s="174" t="s">
        <v>1835</v>
      </c>
      <c r="FF165" s="174" t="s">
        <v>1838</v>
      </c>
      <c r="FG165" s="174" t="s">
        <v>1839</v>
      </c>
      <c r="FH165" s="174" t="s">
        <v>1829</v>
      </c>
      <c r="FI165" s="174" t="s">
        <v>1812</v>
      </c>
      <c r="FJ165" s="174" t="s">
        <v>1809</v>
      </c>
      <c r="FK165" s="174" t="s">
        <v>1808</v>
      </c>
      <c r="FL165" s="174" t="s">
        <v>1808</v>
      </c>
      <c r="FM165" s="174" t="s">
        <v>1808</v>
      </c>
      <c r="FN165" s="174" t="s">
        <v>1808</v>
      </c>
      <c r="FO165" s="174" t="s">
        <v>1811</v>
      </c>
      <c r="FP165" s="174" t="s">
        <v>1811</v>
      </c>
      <c r="FQ165" s="174" t="s">
        <v>1831</v>
      </c>
      <c r="FR165" s="174" t="s">
        <v>1831</v>
      </c>
      <c r="FS165" s="174" t="s">
        <v>1836</v>
      </c>
      <c r="FT165" s="174" t="s">
        <v>1836</v>
      </c>
      <c r="FU165" s="174" t="s">
        <v>1836</v>
      </c>
      <c r="FV165" s="174" t="s">
        <v>1840</v>
      </c>
      <c r="FW165" s="174" t="s">
        <v>1841</v>
      </c>
      <c r="FX165" s="174" t="s">
        <v>1841</v>
      </c>
      <c r="FY165" s="174" t="s">
        <v>1830</v>
      </c>
      <c r="FZ165" s="174" t="s">
        <v>1830</v>
      </c>
      <c r="GA165" s="174"/>
      <c r="GB165" s="174"/>
      <c r="GC165" s="174" t="s">
        <v>1830</v>
      </c>
      <c r="GD165" s="174"/>
      <c r="GE165" s="174"/>
      <c r="GF165" s="174"/>
      <c r="GG165" s="174"/>
      <c r="GH165" s="174" t="s">
        <v>1830</v>
      </c>
      <c r="GI165" s="174"/>
      <c r="GJ165" s="174" t="s">
        <v>1808</v>
      </c>
      <c r="GK165" s="174"/>
      <c r="GL165" s="174" t="s">
        <v>1836</v>
      </c>
      <c r="GM165" s="174" t="s">
        <v>1811</v>
      </c>
      <c r="GN165" s="174" t="s">
        <v>1811</v>
      </c>
      <c r="GO165" s="174"/>
      <c r="GP165" s="174"/>
      <c r="GQ165" s="174"/>
      <c r="GR165" s="174"/>
      <c r="GS165" s="174"/>
      <c r="GT165" s="174"/>
      <c r="GU165" s="174"/>
      <c r="GV165" s="174"/>
      <c r="GW165" s="174"/>
      <c r="GX165" s="174"/>
      <c r="GY165" s="174"/>
      <c r="GZ165" s="174"/>
      <c r="HA165" s="174">
        <v>4</v>
      </c>
      <c r="HB165" s="197">
        <v>162</v>
      </c>
      <c r="HC165" s="194">
        <v>101</v>
      </c>
      <c r="HD165" s="238">
        <v>126</v>
      </c>
      <c r="HE165" s="236">
        <v>25</v>
      </c>
      <c r="HF165" s="183">
        <v>227</v>
      </c>
      <c r="HG165" s="193" t="e">
        <f t="shared" si="20"/>
        <v>#N/A</v>
      </c>
      <c r="HH165" s="192" t="e">
        <f t="shared" si="21"/>
        <v>#N/A</v>
      </c>
      <c r="HI165" s="198">
        <v>25</v>
      </c>
      <c r="HJ165" s="185">
        <v>171</v>
      </c>
      <c r="HK165" s="174">
        <v>163</v>
      </c>
      <c r="HL165" s="174">
        <v>619</v>
      </c>
      <c r="HM165" s="174">
        <v>712</v>
      </c>
      <c r="HN165" s="174">
        <v>559</v>
      </c>
      <c r="HO165" s="174">
        <v>283</v>
      </c>
      <c r="HP165" s="174">
        <v>273</v>
      </c>
      <c r="HQ165" s="174">
        <v>263</v>
      </c>
      <c r="HR165" s="174">
        <v>253</v>
      </c>
      <c r="HS165" s="174">
        <v>559</v>
      </c>
      <c r="HT165" s="174">
        <v>549</v>
      </c>
      <c r="HU165" s="174">
        <v>263</v>
      </c>
      <c r="HV165" s="174">
        <v>396</v>
      </c>
      <c r="HW165" s="174">
        <v>253</v>
      </c>
      <c r="HX165" s="174">
        <v>243</v>
      </c>
      <c r="HY165" s="174">
        <v>233</v>
      </c>
      <c r="HZ165" s="174">
        <v>223</v>
      </c>
      <c r="IA165" s="174">
        <v>386</v>
      </c>
      <c r="IB165" s="174">
        <v>366</v>
      </c>
      <c r="IC165" s="174">
        <v>223</v>
      </c>
      <c r="ID165" s="174">
        <v>193</v>
      </c>
      <c r="IE165" s="174">
        <v>173</v>
      </c>
      <c r="IF165" s="174">
        <v>165</v>
      </c>
      <c r="IG165" s="174"/>
      <c r="IH165" s="174"/>
      <c r="II165" s="174"/>
      <c r="IJ165" s="174"/>
      <c r="IK165" s="174"/>
      <c r="IL165" s="174"/>
      <c r="IM165" s="174"/>
      <c r="IN165" s="174"/>
      <c r="IO165" s="174"/>
      <c r="IP165" s="174"/>
      <c r="IQ165" s="174"/>
      <c r="IR165" s="174"/>
      <c r="IS165" s="174"/>
      <c r="IT165" s="174"/>
      <c r="IU165" s="174"/>
      <c r="IV165" s="174"/>
    </row>
    <row r="166" spans="1:256" s="218" customFormat="1" ht="13.35" customHeight="1" thickBot="1" x14ac:dyDescent="0.25">
      <c r="A166" s="174">
        <v>20</v>
      </c>
      <c r="B166" s="174">
        <f>A166+44</f>
        <v>64</v>
      </c>
      <c r="C166" s="174"/>
      <c r="D166" s="174"/>
      <c r="E166" s="207"/>
      <c r="AM166" s="218" t="s">
        <v>616</v>
      </c>
      <c r="BG166" s="218" t="s">
        <v>634</v>
      </c>
      <c r="BZ166" s="218" t="s">
        <v>560</v>
      </c>
      <c r="CN166" s="218" t="s">
        <v>561</v>
      </c>
      <c r="DF166" s="174">
        <v>4</v>
      </c>
      <c r="DG166" s="174"/>
      <c r="DH166" s="174"/>
      <c r="DI166" s="174"/>
      <c r="DJ166" s="174"/>
      <c r="DK166" s="174"/>
      <c r="DL166" s="174"/>
      <c r="DM166" s="174"/>
      <c r="DN166" s="174"/>
      <c r="DO166" s="174"/>
      <c r="DP166" s="174"/>
      <c r="DQ166" s="174"/>
      <c r="DR166" s="174"/>
      <c r="DS166" s="174"/>
      <c r="DT166" s="174"/>
      <c r="DU166" s="174"/>
      <c r="DV166" s="174"/>
      <c r="DW166" s="174"/>
      <c r="DX166" s="174"/>
      <c r="DY166" s="174"/>
      <c r="DZ166" s="174"/>
      <c r="EA166" s="174"/>
      <c r="EB166" s="174"/>
      <c r="EC166" s="174"/>
      <c r="ED166" s="174"/>
      <c r="EE166" s="174"/>
      <c r="EF166" s="174"/>
      <c r="EG166" s="174"/>
      <c r="EH166" s="174"/>
      <c r="EI166" s="174"/>
      <c r="EJ166" s="174"/>
      <c r="EK166" s="174"/>
      <c r="EL166" s="174"/>
      <c r="EM166" s="174"/>
      <c r="EN166" s="174"/>
      <c r="EO166" s="174" t="s">
        <v>1811</v>
      </c>
      <c r="EP166" s="174" t="s">
        <v>1811</v>
      </c>
      <c r="EQ166" s="174" t="s">
        <v>1842</v>
      </c>
      <c r="ER166" s="174" t="s">
        <v>1809</v>
      </c>
      <c r="ES166" s="174" t="s">
        <v>1809</v>
      </c>
      <c r="ET166" s="174" t="s">
        <v>1837</v>
      </c>
      <c r="EU166" s="174" t="s">
        <v>1809</v>
      </c>
      <c r="EV166" s="174" t="s">
        <v>1836</v>
      </c>
      <c r="EW166" s="174" t="s">
        <v>1836</v>
      </c>
      <c r="EX166" s="174" t="s">
        <v>1836</v>
      </c>
      <c r="EY166" s="174" t="s">
        <v>1809</v>
      </c>
      <c r="EZ166" s="174" t="s">
        <v>1809</v>
      </c>
      <c r="FA166" s="174" t="s">
        <v>1809</v>
      </c>
      <c r="FB166" s="174" t="s">
        <v>1812</v>
      </c>
      <c r="FC166" s="174" t="s">
        <v>1835</v>
      </c>
      <c r="FD166" s="174"/>
      <c r="FE166" s="174" t="s">
        <v>1843</v>
      </c>
      <c r="FF166" s="174" t="s">
        <v>1844</v>
      </c>
      <c r="FG166" s="174" t="s">
        <v>1835</v>
      </c>
      <c r="FH166" s="174" t="s">
        <v>1812</v>
      </c>
      <c r="FI166" s="174" t="s">
        <v>1809</v>
      </c>
      <c r="FJ166" s="174" t="s">
        <v>1808</v>
      </c>
      <c r="FK166" s="174" t="s">
        <v>1812</v>
      </c>
      <c r="FL166" s="174" t="s">
        <v>1812</v>
      </c>
      <c r="FM166" s="174" t="s">
        <v>1812</v>
      </c>
      <c r="FN166" s="174" t="s">
        <v>1812</v>
      </c>
      <c r="FO166" s="174" t="s">
        <v>1843</v>
      </c>
      <c r="FP166" s="174" t="s">
        <v>1843</v>
      </c>
      <c r="FQ166" s="174" t="s">
        <v>1836</v>
      </c>
      <c r="FR166" s="174" t="s">
        <v>1836</v>
      </c>
      <c r="FS166" s="174" t="s">
        <v>1812</v>
      </c>
      <c r="FT166" s="174" t="s">
        <v>1812</v>
      </c>
      <c r="FU166" s="174" t="s">
        <v>1812</v>
      </c>
      <c r="FV166" s="174" t="s">
        <v>1831</v>
      </c>
      <c r="FW166" s="174" t="s">
        <v>1845</v>
      </c>
      <c r="FX166" s="174" t="s">
        <v>1845</v>
      </c>
      <c r="FY166" s="174" t="s">
        <v>1841</v>
      </c>
      <c r="FZ166" s="174" t="s">
        <v>1828</v>
      </c>
      <c r="GA166" s="174"/>
      <c r="GB166" s="174"/>
      <c r="GC166" s="174" t="s">
        <v>1828</v>
      </c>
      <c r="GD166" s="174"/>
      <c r="GE166" s="174"/>
      <c r="GF166" s="174"/>
      <c r="GG166" s="174"/>
      <c r="GH166" s="174" t="s">
        <v>1828</v>
      </c>
      <c r="GI166" s="174"/>
      <c r="GJ166" s="174" t="s">
        <v>1836</v>
      </c>
      <c r="GK166" s="174"/>
      <c r="GL166" s="174" t="s">
        <v>1812</v>
      </c>
      <c r="GM166" s="174" t="s">
        <v>1837</v>
      </c>
      <c r="GN166" s="174" t="s">
        <v>1828</v>
      </c>
      <c r="GO166" s="174"/>
      <c r="GP166" s="174"/>
      <c r="GQ166" s="174"/>
      <c r="GR166" s="174"/>
      <c r="GS166" s="174"/>
      <c r="GT166" s="174"/>
      <c r="GU166" s="174"/>
      <c r="GV166" s="174"/>
      <c r="GW166" s="174"/>
      <c r="GX166" s="174"/>
      <c r="GY166" s="174"/>
      <c r="GZ166" s="174"/>
      <c r="HA166" s="174">
        <v>5</v>
      </c>
      <c r="HB166" s="197">
        <v>163</v>
      </c>
      <c r="HC166" s="194">
        <v>102</v>
      </c>
      <c r="HD166" s="238">
        <v>126.5</v>
      </c>
      <c r="HE166" s="236">
        <v>25</v>
      </c>
      <c r="HF166" s="183">
        <v>228</v>
      </c>
      <c r="HG166" s="193" t="e">
        <f t="shared" si="20"/>
        <v>#N/A</v>
      </c>
      <c r="HH166" s="192" t="e">
        <f t="shared" si="21"/>
        <v>#N/A</v>
      </c>
      <c r="HI166" s="198">
        <v>25</v>
      </c>
      <c r="HJ166" s="185">
        <v>171.5</v>
      </c>
      <c r="HK166" s="174">
        <v>164</v>
      </c>
      <c r="HL166" s="174">
        <v>622</v>
      </c>
      <c r="HM166" s="174">
        <v>716</v>
      </c>
      <c r="HN166" s="174">
        <v>562</v>
      </c>
      <c r="HO166" s="174">
        <v>284</v>
      </c>
      <c r="HP166" s="174">
        <v>274</v>
      </c>
      <c r="HQ166" s="174">
        <v>264</v>
      </c>
      <c r="HR166" s="174">
        <v>254</v>
      </c>
      <c r="HS166" s="174">
        <v>562</v>
      </c>
      <c r="HT166" s="174">
        <v>552</v>
      </c>
      <c r="HU166" s="174">
        <v>264</v>
      </c>
      <c r="HV166" s="174">
        <v>398</v>
      </c>
      <c r="HW166" s="174">
        <v>254</v>
      </c>
      <c r="HX166" s="174">
        <v>244</v>
      </c>
      <c r="HY166" s="174">
        <v>234</v>
      </c>
      <c r="HZ166" s="174">
        <v>224</v>
      </c>
      <c r="IA166" s="174">
        <v>388</v>
      </c>
      <c r="IB166" s="174">
        <v>368</v>
      </c>
      <c r="IC166" s="174">
        <v>224</v>
      </c>
      <c r="ID166" s="174">
        <v>194</v>
      </c>
      <c r="IE166" s="174">
        <v>174</v>
      </c>
      <c r="IF166" s="174">
        <v>166</v>
      </c>
      <c r="IG166" s="174"/>
      <c r="IH166" s="174"/>
      <c r="II166" s="174"/>
      <c r="IJ166" s="174"/>
      <c r="IK166" s="174"/>
      <c r="IL166" s="174"/>
      <c r="IM166" s="174"/>
      <c r="IN166" s="174"/>
      <c r="IO166" s="174"/>
      <c r="IP166" s="174"/>
      <c r="IQ166" s="174"/>
      <c r="IR166" s="174"/>
      <c r="IS166" s="174"/>
      <c r="IT166" s="174"/>
      <c r="IU166" s="174"/>
      <c r="IV166" s="174"/>
    </row>
    <row r="167" spans="1:256" s="218" customFormat="1" ht="13.35" customHeight="1" thickBot="1" x14ac:dyDescent="0.25">
      <c r="A167" s="174">
        <v>21</v>
      </c>
      <c r="B167" s="174">
        <f>A167+44</f>
        <v>65</v>
      </c>
      <c r="C167" s="174"/>
      <c r="D167" s="174"/>
      <c r="E167" s="207"/>
      <c r="DF167" s="174"/>
      <c r="DG167" s="174"/>
      <c r="DH167" s="174"/>
      <c r="DI167" s="174"/>
      <c r="DJ167" s="174"/>
      <c r="DK167" s="174"/>
      <c r="DL167" s="174"/>
      <c r="DM167" s="174"/>
      <c r="DN167" s="174"/>
      <c r="DO167" s="174"/>
      <c r="DP167" s="174"/>
      <c r="DQ167" s="174"/>
      <c r="DR167" s="174"/>
      <c r="DS167" s="174"/>
      <c r="DT167" s="174"/>
      <c r="DU167" s="174"/>
      <c r="DV167" s="174"/>
      <c r="DW167" s="174"/>
      <c r="DX167" s="174"/>
      <c r="DY167" s="174"/>
      <c r="DZ167" s="174"/>
      <c r="EA167" s="174"/>
      <c r="EB167" s="174"/>
      <c r="EC167" s="174"/>
      <c r="ED167" s="174"/>
      <c r="EE167" s="174"/>
      <c r="EF167" s="174"/>
      <c r="EG167" s="174"/>
      <c r="EH167" s="174"/>
      <c r="EI167" s="174"/>
      <c r="EJ167" s="174"/>
      <c r="EK167" s="174"/>
      <c r="EL167" s="174"/>
      <c r="EM167" s="174"/>
      <c r="EN167" s="174"/>
      <c r="EO167" s="174" t="s">
        <v>1830</v>
      </c>
      <c r="EP167" s="174" t="s">
        <v>1830</v>
      </c>
      <c r="EQ167" s="174" t="s">
        <v>1846</v>
      </c>
      <c r="ER167" s="174" t="s">
        <v>1847</v>
      </c>
      <c r="ES167" s="174" t="s">
        <v>1847</v>
      </c>
      <c r="ET167" s="174" t="s">
        <v>1835</v>
      </c>
      <c r="EU167" s="174" t="s">
        <v>1847</v>
      </c>
      <c r="EV167" s="174" t="s">
        <v>1837</v>
      </c>
      <c r="EW167" s="174" t="s">
        <v>1837</v>
      </c>
      <c r="EX167" s="174" t="s">
        <v>1837</v>
      </c>
      <c r="EY167" s="174" t="s">
        <v>1847</v>
      </c>
      <c r="EZ167" s="174" t="s">
        <v>1847</v>
      </c>
      <c r="FA167" s="174" t="s">
        <v>1847</v>
      </c>
      <c r="FB167" s="174" t="s">
        <v>1844</v>
      </c>
      <c r="FC167" s="174" t="s">
        <v>1843</v>
      </c>
      <c r="FD167" s="174" t="s">
        <v>1836</v>
      </c>
      <c r="FE167" s="174" t="s">
        <v>1848</v>
      </c>
      <c r="FF167" s="174" t="s">
        <v>1837</v>
      </c>
      <c r="FG167" s="174" t="s">
        <v>1843</v>
      </c>
      <c r="FH167" s="174" t="s">
        <v>1837</v>
      </c>
      <c r="FI167" s="174" t="s">
        <v>1847</v>
      </c>
      <c r="FJ167" s="174" t="s">
        <v>1812</v>
      </c>
      <c r="FK167" s="174" t="s">
        <v>1835</v>
      </c>
      <c r="FL167" s="174" t="s">
        <v>1835</v>
      </c>
      <c r="FM167" s="174" t="s">
        <v>1835</v>
      </c>
      <c r="FN167" s="174" t="s">
        <v>1849</v>
      </c>
      <c r="FO167" s="174" t="s">
        <v>1850</v>
      </c>
      <c r="FP167" s="174" t="s">
        <v>1850</v>
      </c>
      <c r="FQ167" s="174" t="s">
        <v>1841</v>
      </c>
      <c r="FR167" s="174" t="s">
        <v>1841</v>
      </c>
      <c r="FS167" s="174" t="s">
        <v>1831</v>
      </c>
      <c r="FT167" s="174" t="s">
        <v>1831</v>
      </c>
      <c r="FU167" s="174" t="s">
        <v>1831</v>
      </c>
      <c r="FV167" s="174" t="s">
        <v>1841</v>
      </c>
      <c r="FW167" s="174" t="s">
        <v>1851</v>
      </c>
      <c r="FX167" s="174" t="s">
        <v>1851</v>
      </c>
      <c r="FY167" s="174" t="s">
        <v>1851</v>
      </c>
      <c r="FZ167" s="174" t="s">
        <v>1831</v>
      </c>
      <c r="GA167" s="174"/>
      <c r="GB167" s="174"/>
      <c r="GC167" s="174" t="s">
        <v>1831</v>
      </c>
      <c r="GD167" s="174"/>
      <c r="GE167" s="174"/>
      <c r="GF167" s="174"/>
      <c r="GG167" s="174"/>
      <c r="GH167" s="174" t="s">
        <v>1831</v>
      </c>
      <c r="GI167" s="174"/>
      <c r="GJ167" s="174" t="s">
        <v>1837</v>
      </c>
      <c r="GK167" s="174"/>
      <c r="GL167" s="174" t="s">
        <v>1844</v>
      </c>
      <c r="GM167" s="174"/>
      <c r="GN167" s="174" t="s">
        <v>1831</v>
      </c>
      <c r="GO167" s="174"/>
      <c r="GP167" s="174"/>
      <c r="GQ167" s="174"/>
      <c r="GR167" s="174"/>
      <c r="GS167" s="174"/>
      <c r="GT167" s="174"/>
      <c r="GU167" s="174"/>
      <c r="GV167" s="174"/>
      <c r="GW167" s="174"/>
      <c r="GX167" s="174"/>
      <c r="GY167" s="174"/>
      <c r="GZ167" s="174"/>
      <c r="HA167" s="174">
        <v>6</v>
      </c>
      <c r="HB167" s="197">
        <v>164</v>
      </c>
      <c r="HC167" s="194">
        <v>102</v>
      </c>
      <c r="HD167" s="238">
        <v>127</v>
      </c>
      <c r="HE167" s="236">
        <v>25</v>
      </c>
      <c r="HF167" s="183">
        <v>229</v>
      </c>
      <c r="HG167" s="193" t="e">
        <f t="shared" si="20"/>
        <v>#N/A</v>
      </c>
      <c r="HH167" s="192" t="e">
        <f t="shared" si="21"/>
        <v>#N/A</v>
      </c>
      <c r="HI167" s="198">
        <v>25</v>
      </c>
      <c r="HJ167" s="185">
        <v>172</v>
      </c>
      <c r="HK167" s="174">
        <v>165</v>
      </c>
      <c r="HL167" s="174">
        <v>625</v>
      </c>
      <c r="HM167" s="174">
        <v>720</v>
      </c>
      <c r="HN167" s="174">
        <v>565</v>
      </c>
      <c r="HO167" s="174">
        <v>285</v>
      </c>
      <c r="HP167" s="174">
        <v>275</v>
      </c>
      <c r="HQ167" s="174">
        <v>265</v>
      </c>
      <c r="HR167" s="174">
        <v>255</v>
      </c>
      <c r="HS167" s="174">
        <v>565</v>
      </c>
      <c r="HT167" s="174">
        <v>555</v>
      </c>
      <c r="HU167" s="174">
        <v>265</v>
      </c>
      <c r="HV167" s="174">
        <v>400</v>
      </c>
      <c r="HW167" s="174">
        <v>255</v>
      </c>
      <c r="HX167" s="174">
        <v>245</v>
      </c>
      <c r="HY167" s="174">
        <v>235</v>
      </c>
      <c r="HZ167" s="174">
        <v>225</v>
      </c>
      <c r="IA167" s="174">
        <v>390</v>
      </c>
      <c r="IB167" s="174">
        <v>370</v>
      </c>
      <c r="IC167" s="174">
        <v>225</v>
      </c>
      <c r="ID167" s="174">
        <v>195</v>
      </c>
      <c r="IE167" s="174">
        <v>175</v>
      </c>
      <c r="IF167" s="174">
        <v>167</v>
      </c>
      <c r="IG167" s="174"/>
      <c r="IH167" s="174"/>
      <c r="II167" s="174"/>
      <c r="IJ167" s="174"/>
      <c r="IK167" s="174"/>
      <c r="IL167" s="174"/>
      <c r="IM167" s="174"/>
      <c r="IN167" s="174"/>
      <c r="IO167" s="174"/>
      <c r="IP167" s="174"/>
      <c r="IQ167" s="174"/>
      <c r="IR167" s="174"/>
      <c r="IS167" s="174"/>
      <c r="IT167" s="174"/>
      <c r="IU167" s="174"/>
      <c r="IV167" s="174"/>
    </row>
    <row r="168" spans="1:256" s="218" customFormat="1" ht="13.35" customHeight="1" thickBot="1" x14ac:dyDescent="0.25">
      <c r="A168" s="174">
        <v>22</v>
      </c>
      <c r="B168" s="174">
        <f>A168+44</f>
        <v>66</v>
      </c>
      <c r="C168" s="174"/>
      <c r="D168" s="174"/>
      <c r="E168" s="207"/>
      <c r="DF168" s="174"/>
      <c r="DG168" s="174"/>
      <c r="DH168" s="174"/>
      <c r="DI168" s="174"/>
      <c r="DJ168" s="174"/>
      <c r="DK168" s="174"/>
      <c r="DL168" s="174"/>
      <c r="DM168" s="174"/>
      <c r="DN168" s="174"/>
      <c r="DO168" s="174"/>
      <c r="DP168" s="174"/>
      <c r="DQ168" s="174"/>
      <c r="DR168" s="174"/>
      <c r="DS168" s="174"/>
      <c r="DT168" s="174"/>
      <c r="DU168" s="174"/>
      <c r="DV168" s="174"/>
      <c r="DW168" s="174"/>
      <c r="DX168" s="174"/>
      <c r="DY168" s="174"/>
      <c r="DZ168" s="174"/>
      <c r="EA168" s="174"/>
      <c r="EB168" s="174"/>
      <c r="EC168" s="174"/>
      <c r="ED168" s="174"/>
      <c r="EE168" s="174"/>
      <c r="EF168" s="174"/>
      <c r="EG168" s="174"/>
      <c r="EH168" s="174"/>
      <c r="EI168" s="174"/>
      <c r="EJ168" s="174"/>
      <c r="EK168" s="174"/>
      <c r="EL168" s="174"/>
      <c r="EM168" s="174"/>
      <c r="EN168" s="174"/>
      <c r="EO168" s="174" t="s">
        <v>1841</v>
      </c>
      <c r="EP168" s="174" t="s">
        <v>1841</v>
      </c>
      <c r="EQ168" s="174" t="s">
        <v>1850</v>
      </c>
      <c r="ER168" s="174" t="s">
        <v>1830</v>
      </c>
      <c r="ES168" s="174" t="s">
        <v>1830</v>
      </c>
      <c r="ET168" s="174" t="s">
        <v>1843</v>
      </c>
      <c r="EU168" s="174" t="s">
        <v>1830</v>
      </c>
      <c r="EV168" s="174" t="s">
        <v>1852</v>
      </c>
      <c r="EW168" s="174" t="s">
        <v>1852</v>
      </c>
      <c r="EX168" s="174" t="s">
        <v>1852</v>
      </c>
      <c r="EY168" s="174" t="s">
        <v>1830</v>
      </c>
      <c r="EZ168" s="174" t="s">
        <v>1830</v>
      </c>
      <c r="FA168" s="174" t="s">
        <v>1830</v>
      </c>
      <c r="FB168" s="174" t="s">
        <v>1837</v>
      </c>
      <c r="FC168" s="174" t="s">
        <v>1848</v>
      </c>
      <c r="FD168" s="174" t="s">
        <v>1853</v>
      </c>
      <c r="FE168" s="174" t="s">
        <v>1850</v>
      </c>
      <c r="FF168" s="174" t="s">
        <v>1852</v>
      </c>
      <c r="FG168" s="174" t="s">
        <v>1854</v>
      </c>
      <c r="FH168" s="174" t="s">
        <v>1853</v>
      </c>
      <c r="FI168" s="174" t="s">
        <v>1830</v>
      </c>
      <c r="FJ168" s="174" t="s">
        <v>1835</v>
      </c>
      <c r="FK168" s="174" t="s">
        <v>1846</v>
      </c>
      <c r="FL168" s="174" t="s">
        <v>1846</v>
      </c>
      <c r="FM168" s="174" t="s">
        <v>1846</v>
      </c>
      <c r="FN168" s="174" t="s">
        <v>1846</v>
      </c>
      <c r="FO168" s="174" t="s">
        <v>1836</v>
      </c>
      <c r="FP168" s="174" t="s">
        <v>1836</v>
      </c>
      <c r="FQ168" s="174" t="s">
        <v>1855</v>
      </c>
      <c r="FR168" s="174" t="s">
        <v>1855</v>
      </c>
      <c r="FS168" s="174" t="s">
        <v>1846</v>
      </c>
      <c r="FT168" s="174" t="s">
        <v>1846</v>
      </c>
      <c r="FU168" s="174" t="s">
        <v>1846</v>
      </c>
      <c r="FV168" s="174" t="s">
        <v>1845</v>
      </c>
      <c r="FW168" s="174" t="s">
        <v>1856</v>
      </c>
      <c r="FX168" s="174" t="s">
        <v>1856</v>
      </c>
      <c r="FY168" s="174" t="s">
        <v>1845</v>
      </c>
      <c r="FZ168" s="174" t="s">
        <v>1846</v>
      </c>
      <c r="GA168" s="174"/>
      <c r="GB168" s="174"/>
      <c r="GC168" s="174" t="s">
        <v>1836</v>
      </c>
      <c r="GD168" s="174"/>
      <c r="GE168" s="174"/>
      <c r="GF168" s="174"/>
      <c r="GG168" s="174"/>
      <c r="GH168" s="174" t="s">
        <v>1836</v>
      </c>
      <c r="GI168" s="174"/>
      <c r="GJ168" s="174" t="s">
        <v>1852</v>
      </c>
      <c r="GK168" s="174"/>
      <c r="GL168" s="174" t="s">
        <v>1837</v>
      </c>
      <c r="GM168" s="174" t="s">
        <v>1850</v>
      </c>
      <c r="GN168" s="174" t="s">
        <v>1841</v>
      </c>
      <c r="GO168" s="174"/>
      <c r="GP168" s="174"/>
      <c r="GQ168" s="174"/>
      <c r="GR168" s="174"/>
      <c r="GS168" s="174"/>
      <c r="GT168" s="174"/>
      <c r="GU168" s="174"/>
      <c r="GV168" s="174"/>
      <c r="GW168" s="174"/>
      <c r="GX168" s="174"/>
      <c r="GY168" s="174"/>
      <c r="GZ168" s="174"/>
      <c r="HA168" s="174">
        <v>7</v>
      </c>
      <c r="HB168" s="197">
        <v>165</v>
      </c>
      <c r="HC168" s="194">
        <v>103</v>
      </c>
      <c r="HD168" s="238">
        <v>127.5</v>
      </c>
      <c r="HE168" s="236">
        <v>25</v>
      </c>
      <c r="HF168" s="183">
        <v>230</v>
      </c>
      <c r="HG168" s="193" t="e">
        <f t="shared" si="20"/>
        <v>#N/A</v>
      </c>
      <c r="HH168" s="192" t="e">
        <f t="shared" si="21"/>
        <v>#N/A</v>
      </c>
      <c r="HI168" s="198">
        <v>25</v>
      </c>
      <c r="HJ168" s="185">
        <v>172.5</v>
      </c>
      <c r="HK168" s="174">
        <v>166</v>
      </c>
      <c r="HL168" s="174">
        <v>628</v>
      </c>
      <c r="HM168" s="174">
        <v>724</v>
      </c>
      <c r="HN168" s="174">
        <v>568</v>
      </c>
      <c r="HO168" s="174">
        <v>286</v>
      </c>
      <c r="HP168" s="174">
        <v>276</v>
      </c>
      <c r="HQ168" s="174">
        <v>266</v>
      </c>
      <c r="HR168" s="174">
        <v>256</v>
      </c>
      <c r="HS168" s="174">
        <v>568</v>
      </c>
      <c r="HT168" s="174">
        <v>558</v>
      </c>
      <c r="HU168" s="174">
        <v>266</v>
      </c>
      <c r="HV168" s="174">
        <v>402</v>
      </c>
      <c r="HW168" s="174">
        <v>256</v>
      </c>
      <c r="HX168" s="174">
        <v>246</v>
      </c>
      <c r="HY168" s="174">
        <v>236</v>
      </c>
      <c r="HZ168" s="174">
        <v>226</v>
      </c>
      <c r="IA168" s="174">
        <v>392</v>
      </c>
      <c r="IB168" s="174">
        <v>372</v>
      </c>
      <c r="IC168" s="174">
        <v>226</v>
      </c>
      <c r="ID168" s="174">
        <v>196</v>
      </c>
      <c r="IE168" s="174">
        <v>176</v>
      </c>
      <c r="IF168" s="174">
        <v>168</v>
      </c>
      <c r="IG168" s="174"/>
      <c r="IH168" s="174"/>
      <c r="II168" s="174"/>
      <c r="IJ168" s="174"/>
      <c r="IK168" s="174"/>
      <c r="IL168" s="174"/>
      <c r="IM168" s="174"/>
      <c r="IN168" s="174"/>
      <c r="IO168" s="174"/>
      <c r="IP168" s="174"/>
      <c r="IQ168" s="174"/>
      <c r="IR168" s="174"/>
      <c r="IS168" s="174"/>
      <c r="IT168" s="174"/>
      <c r="IU168" s="174"/>
      <c r="IV168" s="174"/>
    </row>
    <row r="169" spans="1:256" ht="13.35" customHeight="1" thickBot="1" x14ac:dyDescent="0.25">
      <c r="A169" s="174">
        <v>23</v>
      </c>
      <c r="B169" s="174">
        <f>A169+44</f>
        <v>67</v>
      </c>
      <c r="E169" s="207"/>
      <c r="EO169" s="174" t="s">
        <v>1857</v>
      </c>
      <c r="EP169" s="174" t="s">
        <v>1857</v>
      </c>
      <c r="EQ169" s="174" t="s">
        <v>1858</v>
      </c>
      <c r="ER169" s="174" t="s">
        <v>1843</v>
      </c>
      <c r="ES169" s="174" t="s">
        <v>1843</v>
      </c>
      <c r="ET169" s="174" t="s">
        <v>1850</v>
      </c>
      <c r="EU169" s="174" t="s">
        <v>1843</v>
      </c>
      <c r="EV169" s="174" t="s">
        <v>1835</v>
      </c>
      <c r="EW169" s="174" t="s">
        <v>1835</v>
      </c>
      <c r="EX169" s="174" t="s">
        <v>1853</v>
      </c>
      <c r="EY169" s="174" t="s">
        <v>1843</v>
      </c>
      <c r="EZ169" s="174" t="s">
        <v>1843</v>
      </c>
      <c r="FA169" s="174" t="s">
        <v>1843</v>
      </c>
      <c r="FB169" s="174" t="s">
        <v>1859</v>
      </c>
      <c r="FC169" s="174" t="s">
        <v>1860</v>
      </c>
      <c r="FD169" s="174" t="s">
        <v>1814</v>
      </c>
      <c r="FE169" s="174" t="s">
        <v>1860</v>
      </c>
      <c r="FF169" s="174" t="s">
        <v>1835</v>
      </c>
      <c r="FG169" s="174" t="s">
        <v>1830</v>
      </c>
      <c r="FH169" s="174" t="s">
        <v>1814</v>
      </c>
      <c r="FI169" s="174" t="s">
        <v>1843</v>
      </c>
      <c r="FJ169" s="174" t="s">
        <v>1846</v>
      </c>
      <c r="FK169" s="174" t="s">
        <v>1850</v>
      </c>
      <c r="FL169" s="174" t="s">
        <v>1850</v>
      </c>
      <c r="FM169" s="174" t="s">
        <v>1850</v>
      </c>
      <c r="FN169" s="174" t="s">
        <v>1850</v>
      </c>
      <c r="FO169" s="174" t="s">
        <v>1846</v>
      </c>
      <c r="FP169" s="174" t="s">
        <v>1846</v>
      </c>
      <c r="FQ169" s="174" t="s">
        <v>1861</v>
      </c>
      <c r="FR169" s="174" t="s">
        <v>1861</v>
      </c>
      <c r="FS169" s="174" t="s">
        <v>1862</v>
      </c>
      <c r="FT169" s="174" t="s">
        <v>1862</v>
      </c>
      <c r="FU169" s="174" t="s">
        <v>1862</v>
      </c>
      <c r="FV169" s="174" t="s">
        <v>1863</v>
      </c>
      <c r="FY169" s="174" t="s">
        <v>1856</v>
      </c>
      <c r="FZ169" s="174" t="s">
        <v>1864</v>
      </c>
      <c r="GC169" s="174" t="s">
        <v>1846</v>
      </c>
      <c r="GH169" s="174" t="s">
        <v>1846</v>
      </c>
      <c r="GJ169" s="174" t="s">
        <v>1835</v>
      </c>
      <c r="GL169" s="174" t="s">
        <v>1853</v>
      </c>
      <c r="GM169" s="174" t="s">
        <v>1865</v>
      </c>
      <c r="GN169" s="174" t="s">
        <v>1853</v>
      </c>
      <c r="HA169" s="174">
        <v>8</v>
      </c>
      <c r="HB169" s="197">
        <v>166</v>
      </c>
      <c r="HC169" s="194">
        <v>103</v>
      </c>
      <c r="HD169" s="238">
        <v>128</v>
      </c>
      <c r="HE169" s="236">
        <v>25</v>
      </c>
      <c r="HF169" s="183">
        <v>231</v>
      </c>
      <c r="HG169" s="193" t="e">
        <f t="shared" si="20"/>
        <v>#N/A</v>
      </c>
      <c r="HH169" s="192" t="e">
        <f t="shared" si="21"/>
        <v>#N/A</v>
      </c>
      <c r="HI169" s="198">
        <v>25</v>
      </c>
      <c r="HJ169" s="185">
        <v>173</v>
      </c>
      <c r="HK169" s="174">
        <v>167</v>
      </c>
      <c r="HL169" s="174">
        <v>631</v>
      </c>
      <c r="HM169" s="174">
        <v>728</v>
      </c>
      <c r="HN169" s="174">
        <v>571</v>
      </c>
      <c r="HO169" s="174">
        <v>287</v>
      </c>
      <c r="HP169" s="174">
        <v>277</v>
      </c>
      <c r="HQ169" s="174">
        <v>267</v>
      </c>
      <c r="HR169" s="174">
        <v>257</v>
      </c>
      <c r="HS169" s="174">
        <v>571</v>
      </c>
      <c r="HT169" s="174">
        <v>561</v>
      </c>
      <c r="HU169" s="174">
        <v>267</v>
      </c>
      <c r="HV169" s="174">
        <v>404</v>
      </c>
      <c r="HW169" s="174">
        <v>257</v>
      </c>
      <c r="HX169" s="174">
        <v>247</v>
      </c>
      <c r="HY169" s="174">
        <v>237</v>
      </c>
      <c r="HZ169" s="174">
        <v>227</v>
      </c>
      <c r="IA169" s="174">
        <v>394</v>
      </c>
      <c r="IB169" s="174">
        <v>374</v>
      </c>
      <c r="IC169" s="174">
        <v>227</v>
      </c>
      <c r="ID169" s="174">
        <v>197</v>
      </c>
      <c r="IE169" s="174">
        <v>177</v>
      </c>
      <c r="IF169" s="174">
        <v>169</v>
      </c>
    </row>
    <row r="170" spans="1:256" ht="13.35" customHeight="1" thickBot="1" x14ac:dyDescent="0.25">
      <c r="A170" s="174">
        <v>24</v>
      </c>
      <c r="B170" s="174">
        <f>A170+44</f>
        <v>68</v>
      </c>
      <c r="E170" s="207"/>
      <c r="EP170" s="174" t="s">
        <v>1831</v>
      </c>
      <c r="ER170" s="174" t="s">
        <v>1837</v>
      </c>
      <c r="ES170" s="174" t="s">
        <v>1837</v>
      </c>
      <c r="ET170" s="174" t="s">
        <v>1860</v>
      </c>
      <c r="EU170" s="174" t="s">
        <v>1837</v>
      </c>
      <c r="EV170" s="174" t="s">
        <v>1810</v>
      </c>
      <c r="EW170" s="174" t="s">
        <v>1810</v>
      </c>
      <c r="EX170" s="174" t="s">
        <v>1814</v>
      </c>
      <c r="EY170" s="174" t="s">
        <v>1837</v>
      </c>
      <c r="EZ170" s="174" t="s">
        <v>1837</v>
      </c>
      <c r="FA170" s="174" t="s">
        <v>1837</v>
      </c>
      <c r="FB170" s="174" t="s">
        <v>1810</v>
      </c>
      <c r="FC170" s="174" t="s">
        <v>1850</v>
      </c>
      <c r="FD170" s="174" t="s">
        <v>1843</v>
      </c>
      <c r="FE170" s="174" t="s">
        <v>1830</v>
      </c>
      <c r="FF170" s="174" t="s">
        <v>1866</v>
      </c>
      <c r="FH170" s="174" t="s">
        <v>1831</v>
      </c>
      <c r="FI170" s="174" t="s">
        <v>1850</v>
      </c>
      <c r="FJ170" s="174" t="s">
        <v>1850</v>
      </c>
      <c r="FK170" s="174" t="s">
        <v>1836</v>
      </c>
      <c r="FL170" s="174" t="s">
        <v>1836</v>
      </c>
      <c r="FM170" s="174" t="s">
        <v>1836</v>
      </c>
      <c r="FN170" s="174" t="s">
        <v>1836</v>
      </c>
      <c r="FO170" s="174" t="s">
        <v>1867</v>
      </c>
      <c r="FP170" s="174" t="s">
        <v>1867</v>
      </c>
      <c r="FQ170" s="174" t="s">
        <v>1868</v>
      </c>
      <c r="FR170" s="174" t="s">
        <v>1869</v>
      </c>
      <c r="FS170" s="174" t="s">
        <v>1870</v>
      </c>
      <c r="FT170" s="174" t="s">
        <v>1870</v>
      </c>
      <c r="FU170" s="174" t="s">
        <v>1870</v>
      </c>
      <c r="FV170" s="174" t="s">
        <v>1851</v>
      </c>
      <c r="FZ170" s="174" t="s">
        <v>1871</v>
      </c>
      <c r="GC170" s="174" t="s">
        <v>1838</v>
      </c>
      <c r="GH170" s="174" t="s">
        <v>1838</v>
      </c>
      <c r="GJ170" s="174" t="s">
        <v>1810</v>
      </c>
      <c r="GL170" s="174" t="s">
        <v>1814</v>
      </c>
      <c r="GM170" s="174" t="s">
        <v>1859</v>
      </c>
      <c r="GN170" s="174" t="s">
        <v>1832</v>
      </c>
      <c r="HA170" s="174">
        <v>9</v>
      </c>
      <c r="HB170" s="197">
        <v>167</v>
      </c>
      <c r="HC170" s="194">
        <v>104</v>
      </c>
      <c r="HD170" s="238">
        <v>128.5</v>
      </c>
      <c r="HE170" s="236">
        <v>25</v>
      </c>
      <c r="HF170" s="183">
        <v>232</v>
      </c>
      <c r="HG170" s="193" t="e">
        <f t="shared" si="20"/>
        <v>#N/A</v>
      </c>
      <c r="HH170" s="192" t="e">
        <f t="shared" si="21"/>
        <v>#N/A</v>
      </c>
      <c r="HI170" s="198">
        <v>25</v>
      </c>
      <c r="HJ170" s="185">
        <v>173.5</v>
      </c>
      <c r="HK170" s="174">
        <v>168</v>
      </c>
      <c r="HL170" s="174">
        <v>634</v>
      </c>
      <c r="HM170" s="174">
        <v>732</v>
      </c>
      <c r="HN170" s="174">
        <v>574</v>
      </c>
      <c r="HO170" s="174">
        <v>288</v>
      </c>
      <c r="HP170" s="174">
        <v>278</v>
      </c>
      <c r="HQ170" s="174">
        <v>268</v>
      </c>
      <c r="HR170" s="174">
        <v>258</v>
      </c>
      <c r="HS170" s="174">
        <v>574</v>
      </c>
      <c r="HT170" s="174">
        <v>564</v>
      </c>
      <c r="HU170" s="174">
        <v>268</v>
      </c>
      <c r="HV170" s="174">
        <v>406</v>
      </c>
      <c r="HW170" s="174">
        <v>258</v>
      </c>
      <c r="HX170" s="174">
        <v>248</v>
      </c>
      <c r="HY170" s="174">
        <v>238</v>
      </c>
      <c r="HZ170" s="174">
        <v>228</v>
      </c>
      <c r="IA170" s="174">
        <v>396</v>
      </c>
      <c r="IB170" s="174">
        <v>376</v>
      </c>
      <c r="IC170" s="174">
        <v>228</v>
      </c>
      <c r="ID170" s="174">
        <v>198</v>
      </c>
      <c r="IE170" s="174">
        <v>178</v>
      </c>
      <c r="IF170" s="174">
        <v>170</v>
      </c>
    </row>
    <row r="171" spans="1:256" ht="13.35" customHeight="1" thickBot="1" x14ac:dyDescent="0.25">
      <c r="A171" s="174">
        <v>25</v>
      </c>
      <c r="B171" s="174">
        <f t="shared" ref="B171:B180" si="25">A171+39</f>
        <v>64</v>
      </c>
      <c r="E171" s="207"/>
      <c r="ER171" s="174" t="s">
        <v>1852</v>
      </c>
      <c r="ES171" s="174" t="s">
        <v>1852</v>
      </c>
      <c r="ET171" s="174" t="s">
        <v>1839</v>
      </c>
      <c r="EU171" s="174" t="s">
        <v>1852</v>
      </c>
      <c r="EV171" s="174" t="s">
        <v>1848</v>
      </c>
      <c r="EW171" s="174" t="s">
        <v>1848</v>
      </c>
      <c r="EX171" s="174" t="s">
        <v>1835</v>
      </c>
      <c r="EY171" s="174" t="s">
        <v>1852</v>
      </c>
      <c r="EZ171" s="174" t="s">
        <v>1852</v>
      </c>
      <c r="FA171" s="174" t="s">
        <v>1852</v>
      </c>
      <c r="FB171" s="174" t="s">
        <v>1841</v>
      </c>
      <c r="FC171" s="174" t="s">
        <v>1830</v>
      </c>
      <c r="FD171" s="174" t="s">
        <v>1831</v>
      </c>
      <c r="FE171" s="174" t="s">
        <v>1841</v>
      </c>
      <c r="FF171" s="174" t="s">
        <v>1810</v>
      </c>
      <c r="FH171" s="174" t="s">
        <v>1846</v>
      </c>
      <c r="FI171" s="174" t="s">
        <v>1828</v>
      </c>
      <c r="FJ171" s="174" t="s">
        <v>1836</v>
      </c>
      <c r="FL171" s="174" t="s">
        <v>1840</v>
      </c>
      <c r="FN171" s="174" t="s">
        <v>1840</v>
      </c>
      <c r="FO171" s="174" t="s">
        <v>1872</v>
      </c>
      <c r="FP171" s="174" t="s">
        <v>1872</v>
      </c>
      <c r="FV171" s="174" t="s">
        <v>1856</v>
      </c>
      <c r="FZ171" s="174" t="s">
        <v>1873</v>
      </c>
      <c r="GC171" s="174" t="s">
        <v>1873</v>
      </c>
      <c r="GH171" s="174" t="s">
        <v>1873</v>
      </c>
      <c r="GJ171" s="174" t="s">
        <v>1848</v>
      </c>
      <c r="GL171" s="174" t="s">
        <v>1835</v>
      </c>
      <c r="GM171" s="174" t="s">
        <v>1855</v>
      </c>
      <c r="HA171" s="174">
        <v>10</v>
      </c>
      <c r="HB171" s="197">
        <v>168</v>
      </c>
      <c r="HC171" s="194">
        <v>104</v>
      </c>
      <c r="HD171" s="238">
        <v>129</v>
      </c>
      <c r="HE171" s="236">
        <v>25</v>
      </c>
      <c r="HF171" s="183">
        <v>233</v>
      </c>
      <c r="HG171" s="193" t="e">
        <f t="shared" si="20"/>
        <v>#N/A</v>
      </c>
      <c r="HH171" s="192" t="e">
        <f t="shared" si="21"/>
        <v>#N/A</v>
      </c>
      <c r="HI171" s="198">
        <v>25</v>
      </c>
      <c r="HJ171" s="185">
        <v>174</v>
      </c>
      <c r="HK171" s="174">
        <v>169</v>
      </c>
      <c r="HL171" s="174">
        <v>637</v>
      </c>
      <c r="HM171" s="174">
        <v>736</v>
      </c>
      <c r="HN171" s="174">
        <v>577</v>
      </c>
      <c r="HO171" s="174">
        <v>289</v>
      </c>
      <c r="HP171" s="174">
        <v>279</v>
      </c>
      <c r="HQ171" s="174">
        <v>269</v>
      </c>
      <c r="HR171" s="174">
        <v>259</v>
      </c>
      <c r="HS171" s="174">
        <v>577</v>
      </c>
      <c r="HT171" s="174">
        <v>567</v>
      </c>
      <c r="HU171" s="174">
        <v>269</v>
      </c>
      <c r="HV171" s="174">
        <v>408</v>
      </c>
      <c r="HW171" s="174">
        <v>259</v>
      </c>
      <c r="HX171" s="174">
        <v>249</v>
      </c>
      <c r="HY171" s="174">
        <v>239</v>
      </c>
      <c r="HZ171" s="174">
        <v>229</v>
      </c>
      <c r="IA171" s="174">
        <v>398</v>
      </c>
      <c r="IB171" s="174">
        <v>378</v>
      </c>
      <c r="IC171" s="174">
        <v>229</v>
      </c>
      <c r="ID171" s="174">
        <v>199</v>
      </c>
      <c r="IE171" s="174">
        <v>179</v>
      </c>
      <c r="IF171" s="174">
        <v>171</v>
      </c>
    </row>
    <row r="172" spans="1:256" ht="13.35" customHeight="1" thickBot="1" x14ac:dyDescent="0.25">
      <c r="A172" s="174">
        <v>26</v>
      </c>
      <c r="B172" s="174">
        <f t="shared" si="25"/>
        <v>65</v>
      </c>
      <c r="E172" s="207"/>
      <c r="ER172" s="174" t="s">
        <v>1850</v>
      </c>
      <c r="ES172" s="174" t="s">
        <v>1850</v>
      </c>
      <c r="ET172" s="174" t="s">
        <v>1841</v>
      </c>
      <c r="EU172" s="174" t="s">
        <v>1850</v>
      </c>
      <c r="EV172" s="174" t="s">
        <v>1850</v>
      </c>
      <c r="EW172" s="174" t="s">
        <v>1850</v>
      </c>
      <c r="EX172" s="174" t="s">
        <v>1843</v>
      </c>
      <c r="EY172" s="174" t="s">
        <v>1850</v>
      </c>
      <c r="EZ172" s="174" t="s">
        <v>1850</v>
      </c>
      <c r="FA172" s="174" t="s">
        <v>1850</v>
      </c>
      <c r="FB172" s="174" t="s">
        <v>1874</v>
      </c>
      <c r="FC172" s="174" t="s">
        <v>1839</v>
      </c>
      <c r="FD172" s="174" t="s">
        <v>1850</v>
      </c>
      <c r="FE172" s="174" t="s">
        <v>1875</v>
      </c>
      <c r="FF172" s="174" t="s">
        <v>1848</v>
      </c>
      <c r="FH172" s="174" t="s">
        <v>1850</v>
      </c>
      <c r="FI172" s="174" t="s">
        <v>1831</v>
      </c>
      <c r="FL172" s="174" t="s">
        <v>1832</v>
      </c>
      <c r="FN172" s="174" t="s">
        <v>1832</v>
      </c>
      <c r="FO172" s="174" t="s">
        <v>1864</v>
      </c>
      <c r="FP172" s="174" t="s">
        <v>1864</v>
      </c>
      <c r="GJ172" s="174" t="s">
        <v>1850</v>
      </c>
      <c r="GL172" s="174" t="s">
        <v>1831</v>
      </c>
      <c r="GM172" s="174" t="s">
        <v>1872</v>
      </c>
      <c r="HA172" s="174">
        <v>11</v>
      </c>
      <c r="HB172" s="197">
        <v>169</v>
      </c>
      <c r="HC172" s="194">
        <v>105</v>
      </c>
      <c r="HD172" s="238">
        <v>129.5</v>
      </c>
      <c r="HE172" s="236">
        <v>25</v>
      </c>
      <c r="HF172" s="183">
        <v>234</v>
      </c>
      <c r="HG172" s="193" t="e">
        <f t="shared" si="20"/>
        <v>#N/A</v>
      </c>
      <c r="HH172" s="192" t="e">
        <f t="shared" si="21"/>
        <v>#N/A</v>
      </c>
      <c r="HI172" s="198">
        <v>25</v>
      </c>
      <c r="HJ172" s="185">
        <v>174.5</v>
      </c>
      <c r="HK172" s="174">
        <v>170</v>
      </c>
      <c r="HL172" s="174">
        <v>640</v>
      </c>
      <c r="HM172" s="174">
        <v>740</v>
      </c>
      <c r="HN172" s="174">
        <v>580</v>
      </c>
      <c r="HO172" s="174">
        <v>290</v>
      </c>
      <c r="HP172" s="174">
        <v>280</v>
      </c>
      <c r="HQ172" s="174">
        <v>270</v>
      </c>
      <c r="HR172" s="174">
        <v>260</v>
      </c>
      <c r="HS172" s="174">
        <v>580</v>
      </c>
      <c r="HT172" s="174">
        <v>570</v>
      </c>
      <c r="HU172" s="174">
        <v>270</v>
      </c>
      <c r="HV172" s="174">
        <v>410</v>
      </c>
      <c r="HW172" s="174">
        <v>260</v>
      </c>
      <c r="HX172" s="174">
        <v>250</v>
      </c>
      <c r="HY172" s="174">
        <v>240</v>
      </c>
      <c r="HZ172" s="174">
        <v>230</v>
      </c>
      <c r="IA172" s="174">
        <v>400</v>
      </c>
      <c r="IB172" s="174">
        <v>380</v>
      </c>
      <c r="IC172" s="174">
        <v>230</v>
      </c>
      <c r="ID172" s="174">
        <v>200</v>
      </c>
      <c r="IE172" s="174">
        <v>180</v>
      </c>
      <c r="IF172" s="174">
        <v>172</v>
      </c>
    </row>
    <row r="173" spans="1:256" ht="13.35" customHeight="1" thickBot="1" x14ac:dyDescent="0.25">
      <c r="A173" s="174">
        <v>27</v>
      </c>
      <c r="B173" s="174">
        <f t="shared" si="25"/>
        <v>66</v>
      </c>
      <c r="E173" s="207"/>
      <c r="ER173" s="174" t="s">
        <v>1836</v>
      </c>
      <c r="ES173" s="174" t="s">
        <v>1836</v>
      </c>
      <c r="ET173" s="174" t="s">
        <v>1876</v>
      </c>
      <c r="EU173" s="174" t="s">
        <v>1836</v>
      </c>
      <c r="EV173" s="174" t="s">
        <v>1860</v>
      </c>
      <c r="EW173" s="174" t="s">
        <v>1860</v>
      </c>
      <c r="EX173" s="174" t="s">
        <v>1831</v>
      </c>
      <c r="EY173" s="174" t="s">
        <v>1836</v>
      </c>
      <c r="EZ173" s="174" t="s">
        <v>1836</v>
      </c>
      <c r="FA173" s="174" t="s">
        <v>1836</v>
      </c>
      <c r="FB173" s="174" t="s">
        <v>1877</v>
      </c>
      <c r="FC173" s="174" t="s">
        <v>1875</v>
      </c>
      <c r="FD173" s="174" t="s">
        <v>1860</v>
      </c>
      <c r="FE173" s="174" t="s">
        <v>1878</v>
      </c>
      <c r="FF173" s="174" t="s">
        <v>1850</v>
      </c>
      <c r="FH173" s="174" t="s">
        <v>1867</v>
      </c>
      <c r="FI173" s="174" t="s">
        <v>1846</v>
      </c>
      <c r="GJ173" s="174" t="s">
        <v>1860</v>
      </c>
      <c r="GL173" s="174" t="s">
        <v>1846</v>
      </c>
      <c r="HA173" s="174">
        <v>12</v>
      </c>
      <c r="HB173" s="197">
        <v>170</v>
      </c>
      <c r="HC173" s="194">
        <v>105</v>
      </c>
      <c r="HD173" s="238">
        <v>130</v>
      </c>
      <c r="HE173" s="236">
        <v>25</v>
      </c>
      <c r="HF173" s="183">
        <v>235</v>
      </c>
      <c r="HG173" s="193" t="e">
        <f t="shared" si="20"/>
        <v>#N/A</v>
      </c>
      <c r="HH173" s="192" t="e">
        <f t="shared" si="21"/>
        <v>#N/A</v>
      </c>
      <c r="HI173" s="198">
        <v>25</v>
      </c>
      <c r="HJ173" s="185">
        <v>175</v>
      </c>
      <c r="HK173" s="174">
        <v>171</v>
      </c>
      <c r="HL173" s="174">
        <v>643</v>
      </c>
      <c r="HM173" s="174">
        <v>744</v>
      </c>
      <c r="HN173" s="174">
        <v>583</v>
      </c>
      <c r="HO173" s="174">
        <v>291</v>
      </c>
      <c r="HP173" s="174">
        <v>281</v>
      </c>
      <c r="HQ173" s="174">
        <v>271</v>
      </c>
      <c r="HR173" s="174">
        <v>261</v>
      </c>
      <c r="HS173" s="174">
        <v>583</v>
      </c>
      <c r="HT173" s="174">
        <v>573</v>
      </c>
      <c r="HU173" s="174">
        <v>271</v>
      </c>
      <c r="HV173" s="174">
        <v>412</v>
      </c>
      <c r="HW173" s="174">
        <v>261</v>
      </c>
      <c r="HX173" s="174">
        <v>251</v>
      </c>
      <c r="HY173" s="174">
        <v>241</v>
      </c>
      <c r="HZ173" s="174">
        <v>231</v>
      </c>
      <c r="IA173" s="174">
        <v>402</v>
      </c>
      <c r="IB173" s="174">
        <v>382</v>
      </c>
      <c r="IC173" s="174">
        <v>231</v>
      </c>
      <c r="ID173" s="174">
        <v>201</v>
      </c>
      <c r="IE173" s="174">
        <v>181</v>
      </c>
      <c r="IF173" s="174">
        <v>173</v>
      </c>
    </row>
    <row r="174" spans="1:256" ht="13.35" customHeight="1" thickBot="1" x14ac:dyDescent="0.25">
      <c r="A174" s="174">
        <v>28</v>
      </c>
      <c r="B174" s="174">
        <f t="shared" si="25"/>
        <v>67</v>
      </c>
      <c r="E174" s="207"/>
      <c r="ER174" s="174" t="s">
        <v>1841</v>
      </c>
      <c r="ES174" s="174" t="s">
        <v>1841</v>
      </c>
      <c r="ET174" s="174" t="s">
        <v>1831</v>
      </c>
      <c r="EU174" s="174" t="s">
        <v>1841</v>
      </c>
      <c r="EV174" s="174" t="s">
        <v>1839</v>
      </c>
      <c r="EW174" s="174" t="s">
        <v>1839</v>
      </c>
      <c r="EX174" s="174" t="s">
        <v>1848</v>
      </c>
      <c r="EY174" s="174" t="s">
        <v>1841</v>
      </c>
      <c r="EZ174" s="174" t="s">
        <v>1841</v>
      </c>
      <c r="FA174" s="174" t="s">
        <v>1841</v>
      </c>
      <c r="FB174" s="174" t="s">
        <v>1866</v>
      </c>
      <c r="FC174" s="174" t="s">
        <v>1878</v>
      </c>
      <c r="FD174" s="174" t="s">
        <v>1830</v>
      </c>
      <c r="FE174" s="174" t="s">
        <v>1879</v>
      </c>
      <c r="FF174" s="174" t="s">
        <v>1860</v>
      </c>
      <c r="FH174" s="174" t="s">
        <v>1857</v>
      </c>
      <c r="FI174" s="174" t="s">
        <v>1860</v>
      </c>
      <c r="GJ174" s="174" t="s">
        <v>1880</v>
      </c>
      <c r="GL174" s="174" t="s">
        <v>1810</v>
      </c>
      <c r="HA174" s="174">
        <v>13</v>
      </c>
      <c r="HB174" s="197">
        <v>171</v>
      </c>
      <c r="HC174" s="194">
        <v>106</v>
      </c>
      <c r="HD174" s="238">
        <v>130.5</v>
      </c>
      <c r="HE174" s="236">
        <v>25</v>
      </c>
      <c r="HF174" s="183">
        <v>236</v>
      </c>
      <c r="HG174" s="193" t="e">
        <f t="shared" si="20"/>
        <v>#N/A</v>
      </c>
      <c r="HH174" s="192" t="e">
        <f t="shared" si="21"/>
        <v>#N/A</v>
      </c>
      <c r="HI174" s="198">
        <v>25</v>
      </c>
      <c r="HJ174" s="185">
        <v>175.5</v>
      </c>
      <c r="HK174" s="174">
        <v>172</v>
      </c>
      <c r="HL174" s="174">
        <v>646</v>
      </c>
      <c r="HM174" s="174">
        <v>748</v>
      </c>
      <c r="HN174" s="174">
        <v>586</v>
      </c>
      <c r="HO174" s="174">
        <v>292</v>
      </c>
      <c r="HP174" s="174">
        <v>282</v>
      </c>
      <c r="HQ174" s="174">
        <v>272</v>
      </c>
      <c r="HR174" s="174">
        <v>262</v>
      </c>
      <c r="HS174" s="174">
        <v>586</v>
      </c>
      <c r="HT174" s="174">
        <v>576</v>
      </c>
      <c r="HU174" s="174">
        <v>272</v>
      </c>
      <c r="HV174" s="174">
        <v>414</v>
      </c>
      <c r="HW174" s="174">
        <v>262</v>
      </c>
      <c r="HX174" s="174">
        <v>252</v>
      </c>
      <c r="HY174" s="174">
        <v>242</v>
      </c>
      <c r="HZ174" s="174">
        <v>232</v>
      </c>
      <c r="IA174" s="174">
        <v>404</v>
      </c>
      <c r="IB174" s="174">
        <v>384</v>
      </c>
      <c r="IC174" s="174">
        <v>232</v>
      </c>
      <c r="ID174" s="174">
        <v>202</v>
      </c>
      <c r="IE174" s="174">
        <v>182</v>
      </c>
      <c r="IF174" s="174">
        <v>174</v>
      </c>
    </row>
    <row r="175" spans="1:256" ht="13.35" customHeight="1" thickBot="1" x14ac:dyDescent="0.25">
      <c r="A175" s="174">
        <v>29</v>
      </c>
      <c r="B175" s="174">
        <f t="shared" si="25"/>
        <v>68</v>
      </c>
      <c r="E175" s="207"/>
      <c r="ER175" s="174" t="s">
        <v>1881</v>
      </c>
      <c r="ES175" s="174" t="s">
        <v>1881</v>
      </c>
      <c r="EU175" s="174" t="s">
        <v>1881</v>
      </c>
      <c r="EV175" s="174" t="s">
        <v>1841</v>
      </c>
      <c r="EW175" s="174" t="s">
        <v>1841</v>
      </c>
      <c r="EX175" s="174" t="s">
        <v>1850</v>
      </c>
      <c r="EY175" s="174" t="s">
        <v>1881</v>
      </c>
      <c r="EZ175" s="174" t="s">
        <v>1881</v>
      </c>
      <c r="FA175" s="174" t="s">
        <v>1881</v>
      </c>
      <c r="FB175" s="174" t="s">
        <v>743</v>
      </c>
      <c r="FC175" s="174" t="s">
        <v>1879</v>
      </c>
      <c r="FD175" s="174" t="s">
        <v>1841</v>
      </c>
      <c r="FE175" s="174" t="s">
        <v>1882</v>
      </c>
      <c r="FF175" s="174" t="s">
        <v>1839</v>
      </c>
      <c r="FI175" s="174" t="s">
        <v>1883</v>
      </c>
      <c r="GJ175" s="174" t="s">
        <v>1841</v>
      </c>
      <c r="GL175" s="174" t="s">
        <v>1848</v>
      </c>
      <c r="HA175" s="174">
        <v>14</v>
      </c>
      <c r="HB175" s="197">
        <v>172</v>
      </c>
      <c r="HC175" s="194">
        <v>106</v>
      </c>
      <c r="HD175" s="238">
        <v>131</v>
      </c>
      <c r="HE175" s="236">
        <v>25</v>
      </c>
      <c r="HF175" s="183">
        <v>237</v>
      </c>
      <c r="HG175" s="193" t="e">
        <f t="shared" si="20"/>
        <v>#N/A</v>
      </c>
      <c r="HH175" s="192" t="e">
        <f t="shared" si="21"/>
        <v>#N/A</v>
      </c>
      <c r="HI175" s="198">
        <v>25</v>
      </c>
      <c r="HJ175" s="185">
        <v>176</v>
      </c>
      <c r="HK175" s="174">
        <v>173</v>
      </c>
      <c r="HL175" s="174">
        <v>649</v>
      </c>
      <c r="HM175" s="174">
        <v>752</v>
      </c>
      <c r="HN175" s="174">
        <v>589</v>
      </c>
      <c r="HO175" s="174">
        <v>293</v>
      </c>
      <c r="HP175" s="174">
        <v>283</v>
      </c>
      <c r="HQ175" s="174">
        <v>273</v>
      </c>
      <c r="HR175" s="174">
        <v>263</v>
      </c>
      <c r="HS175" s="174">
        <v>589</v>
      </c>
      <c r="HT175" s="174">
        <v>579</v>
      </c>
      <c r="HU175" s="174">
        <v>273</v>
      </c>
      <c r="HV175" s="174">
        <v>416</v>
      </c>
      <c r="HW175" s="174">
        <v>263</v>
      </c>
      <c r="HX175" s="174">
        <v>253</v>
      </c>
      <c r="HY175" s="174">
        <v>243</v>
      </c>
      <c r="HZ175" s="174">
        <v>233</v>
      </c>
      <c r="IA175" s="174">
        <v>406</v>
      </c>
      <c r="IB175" s="174">
        <v>386</v>
      </c>
      <c r="IC175" s="174">
        <v>233</v>
      </c>
      <c r="ID175" s="174">
        <v>203</v>
      </c>
      <c r="IE175" s="174">
        <v>183</v>
      </c>
      <c r="IF175" s="174">
        <v>175</v>
      </c>
    </row>
    <row r="176" spans="1:256" ht="13.35" customHeight="1" thickBot="1" x14ac:dyDescent="0.25">
      <c r="A176" s="174">
        <v>30</v>
      </c>
      <c r="B176" s="174">
        <f t="shared" si="25"/>
        <v>69</v>
      </c>
      <c r="E176" s="207"/>
      <c r="F176" s="174" t="s">
        <v>782</v>
      </c>
      <c r="G176" s="174" t="s">
        <v>783</v>
      </c>
      <c r="H176" s="174" t="s">
        <v>784</v>
      </c>
      <c r="I176" s="174" t="s">
        <v>785</v>
      </c>
      <c r="J176" s="174" t="s">
        <v>786</v>
      </c>
      <c r="K176" s="174" t="s">
        <v>787</v>
      </c>
      <c r="L176" s="174" t="s">
        <v>788</v>
      </c>
      <c r="M176" s="174" t="s">
        <v>789</v>
      </c>
      <c r="N176" s="174" t="s">
        <v>790</v>
      </c>
      <c r="O176" s="174" t="s">
        <v>791</v>
      </c>
      <c r="P176" s="174" t="s">
        <v>792</v>
      </c>
      <c r="Q176" s="174" t="s">
        <v>793</v>
      </c>
      <c r="R176" s="174" t="s">
        <v>794</v>
      </c>
      <c r="S176" s="174" t="s">
        <v>182</v>
      </c>
      <c r="T176" s="174" t="s">
        <v>795</v>
      </c>
      <c r="U176" s="174" t="s">
        <v>796</v>
      </c>
      <c r="V176" s="174" t="s">
        <v>797</v>
      </c>
      <c r="W176" s="174" t="s">
        <v>798</v>
      </c>
      <c r="X176" s="174" t="s">
        <v>799</v>
      </c>
      <c r="Y176" s="174" t="s">
        <v>800</v>
      </c>
      <c r="AA176" s="174" t="str">
        <f>AA163</f>
        <v>Arcanist (AC)</v>
      </c>
      <c r="AB176" s="174" t="str">
        <f>AB163</f>
        <v>Wizard (AC)</v>
      </c>
      <c r="AC176" s="174" t="str">
        <f>AC163</f>
        <v>Chaotic (AC)</v>
      </c>
      <c r="AD176" s="174" t="str">
        <f>AD163</f>
        <v>Magehunter (AC)</v>
      </c>
      <c r="AF176" s="174" t="s">
        <v>805</v>
      </c>
      <c r="AG176" s="174" t="s">
        <v>806</v>
      </c>
      <c r="AH176" s="174" t="s">
        <v>807</v>
      </c>
      <c r="AJ176" s="174" t="s">
        <v>808</v>
      </c>
      <c r="AK176" s="174" t="s">
        <v>809</v>
      </c>
      <c r="AL176" s="174" t="s">
        <v>810</v>
      </c>
      <c r="AM176" s="174" t="s">
        <v>811</v>
      </c>
      <c r="AO176" s="174" t="s">
        <v>812</v>
      </c>
      <c r="AP176" s="174" t="s">
        <v>813</v>
      </c>
      <c r="AQ176" s="174" t="s">
        <v>814</v>
      </c>
      <c r="AS176" s="174" t="s">
        <v>815</v>
      </c>
      <c r="AT176" s="174" t="s">
        <v>816</v>
      </c>
      <c r="AU176" s="174" t="s">
        <v>817</v>
      </c>
      <c r="AV176" s="174" t="s">
        <v>818</v>
      </c>
      <c r="AW176" s="174" t="s">
        <v>819</v>
      </c>
      <c r="AX176" s="174" t="s">
        <v>820</v>
      </c>
      <c r="AY176" s="174" t="s">
        <v>821</v>
      </c>
      <c r="AZ176" s="174" t="s">
        <v>822</v>
      </c>
      <c r="BA176" s="174" t="str">
        <f t="shared" ref="BA176:CV176" si="26">BA163</f>
        <v>Priest of Culture</v>
      </c>
      <c r="BB176" s="174" t="str">
        <f t="shared" si="26"/>
        <v>Priest of Darkness, Night</v>
      </c>
      <c r="BC176" s="174" t="str">
        <f t="shared" si="26"/>
        <v>Priest of Dawn</v>
      </c>
      <c r="BD176" s="174" t="str">
        <f t="shared" si="26"/>
        <v>Priest of Death</v>
      </c>
      <c r="BE176" s="174" t="str">
        <f t="shared" si="26"/>
        <v>Priest of Disease</v>
      </c>
      <c r="BF176" s="174" t="str">
        <f t="shared" si="26"/>
        <v>Priest of Earth</v>
      </c>
      <c r="BG176" s="174" t="str">
        <f t="shared" si="26"/>
        <v>Priest of Fate, Destiny</v>
      </c>
      <c r="BH176" s="174" t="str">
        <f t="shared" si="26"/>
        <v>Priest of Fertility</v>
      </c>
      <c r="BI176" s="174" t="str">
        <f t="shared" si="26"/>
        <v>Priest of Fire</v>
      </c>
      <c r="BJ176" s="174" t="str">
        <f t="shared" si="26"/>
        <v>Priest of Fortune, Luck</v>
      </c>
      <c r="BK176" s="174" t="str">
        <f t="shared" si="26"/>
        <v>Priest of Guardianship</v>
      </c>
      <c r="BL176" s="174" t="str">
        <f t="shared" si="26"/>
        <v>Priest of Healing</v>
      </c>
      <c r="BM176" s="174" t="str">
        <f t="shared" si="26"/>
        <v>Priest of Hunting</v>
      </c>
      <c r="BN176" s="174" t="str">
        <f t="shared" si="26"/>
        <v>Priest of Justice, Revenge</v>
      </c>
      <c r="BO176" s="174" t="str">
        <f t="shared" si="26"/>
        <v>Priest of Light</v>
      </c>
      <c r="BP176" s="174" t="str">
        <f t="shared" si="26"/>
        <v>Priest of Lightning</v>
      </c>
      <c r="BQ176" s="174" t="str">
        <f t="shared" si="26"/>
        <v>Priest of Literature</v>
      </c>
      <c r="BR176" s="174" t="str">
        <f t="shared" si="26"/>
        <v>Priest of Love</v>
      </c>
      <c r="BS176" s="174" t="str">
        <f t="shared" si="26"/>
        <v>Priest of Magic</v>
      </c>
      <c r="BT176" s="174" t="str">
        <f t="shared" si="26"/>
        <v>Priest of Marriage</v>
      </c>
      <c r="BU176" s="174" t="str">
        <f t="shared" si="26"/>
        <v>Priest of Messengers</v>
      </c>
      <c r="BV176" s="174" t="str">
        <f t="shared" si="26"/>
        <v>Priest of Metalwork</v>
      </c>
      <c r="BW176" s="174" t="str">
        <f t="shared" si="26"/>
        <v>Priest of Mischief/Trickery</v>
      </c>
      <c r="BX176" s="174" t="str">
        <f t="shared" si="26"/>
        <v>Priest of Moon</v>
      </c>
      <c r="BY176" s="174" t="str">
        <f t="shared" si="26"/>
        <v>Priest of Music, Dance</v>
      </c>
      <c r="BZ176" s="174" t="str">
        <f t="shared" si="26"/>
        <v>Priest of Nature</v>
      </c>
      <c r="CA176" s="174" t="str">
        <f t="shared" si="26"/>
        <v>Priest of Ocean, Rivers</v>
      </c>
      <c r="CB176" s="174" t="str">
        <f t="shared" si="26"/>
        <v>Priest of Oracles</v>
      </c>
      <c r="CC176" s="174" t="str">
        <f t="shared" si="26"/>
        <v>Priest of Peace</v>
      </c>
      <c r="CD176" s="174" t="str">
        <f t="shared" si="26"/>
        <v>Priest of Prosperity</v>
      </c>
      <c r="CE176" s="174" t="str">
        <f t="shared" si="26"/>
        <v>Priest of Redemption</v>
      </c>
      <c r="CF176" s="174" t="str">
        <f t="shared" si="26"/>
        <v>Priest of Rulership</v>
      </c>
      <c r="CG176" s="174" t="str">
        <f t="shared" si="26"/>
        <v>Priest of Seasons</v>
      </c>
      <c r="CH176" s="174" t="str">
        <f t="shared" si="26"/>
        <v>Priest of Sky, Weather</v>
      </c>
      <c r="CI176" s="174" t="str">
        <f t="shared" si="26"/>
        <v>Priest of Strength</v>
      </c>
      <c r="CJ176" s="174" t="str">
        <f t="shared" si="26"/>
        <v>Priest of Sun</v>
      </c>
      <c r="CK176" s="174" t="str">
        <f t="shared" si="26"/>
        <v>Priest of Thunder</v>
      </c>
      <c r="CL176" s="174" t="str">
        <f t="shared" si="26"/>
        <v>Priest of Time</v>
      </c>
      <c r="CM176" s="174" t="str">
        <f t="shared" si="26"/>
        <v>Priest of Trade</v>
      </c>
      <c r="CN176" s="174" t="str">
        <f t="shared" si="26"/>
        <v>Priest of Vegetation</v>
      </c>
      <c r="CO176" s="174" t="str">
        <f t="shared" si="26"/>
        <v>Priest of War</v>
      </c>
      <c r="CP176" s="174" t="str">
        <f t="shared" si="26"/>
        <v>Priest of Wind</v>
      </c>
      <c r="CQ176" s="174" t="str">
        <f t="shared" si="26"/>
        <v>Priest of Wisdom</v>
      </c>
      <c r="CR176" s="174">
        <f t="shared" si="26"/>
        <v>0</v>
      </c>
      <c r="CS176" s="174" t="str">
        <f t="shared" si="26"/>
        <v>Barbarian (FRP)</v>
      </c>
      <c r="CT176" s="174" t="str">
        <f t="shared" si="26"/>
        <v>Outrider (FRP)</v>
      </c>
      <c r="CU176" s="174" t="str">
        <f t="shared" si="26"/>
        <v>Sage (FRP)</v>
      </c>
      <c r="CV176" s="174" t="str">
        <f t="shared" si="26"/>
        <v>Swashbuckler (FRP)</v>
      </c>
      <c r="CX176" s="174" t="s">
        <v>870</v>
      </c>
      <c r="CY176" s="174" t="s">
        <v>871</v>
      </c>
      <c r="CZ176" s="174" t="s">
        <v>872</v>
      </c>
      <c r="DA176" s="174" t="s">
        <v>1149</v>
      </c>
      <c r="DB176" s="174" t="s">
        <v>874</v>
      </c>
      <c r="DC176" s="174" t="s">
        <v>875</v>
      </c>
      <c r="DD176" s="174" t="s">
        <v>876</v>
      </c>
      <c r="DF176" s="174">
        <v>1</v>
      </c>
      <c r="ER176" s="174" t="s">
        <v>1884</v>
      </c>
      <c r="ES176" s="174" t="s">
        <v>1884</v>
      </c>
      <c r="EU176" s="174" t="s">
        <v>1884</v>
      </c>
      <c r="EV176" s="174" t="s">
        <v>1876</v>
      </c>
      <c r="EW176" s="174" t="s">
        <v>1876</v>
      </c>
      <c r="EX176" s="174" t="s">
        <v>1860</v>
      </c>
      <c r="EY176" s="174" t="s">
        <v>1884</v>
      </c>
      <c r="EZ176" s="174" t="s">
        <v>1884</v>
      </c>
      <c r="FA176" s="174" t="s">
        <v>1884</v>
      </c>
      <c r="FC176" s="174" t="s">
        <v>1882</v>
      </c>
      <c r="FD176" s="174" t="s">
        <v>1879</v>
      </c>
      <c r="FE176" s="174" t="s">
        <v>1884</v>
      </c>
      <c r="FF176" s="174" t="s">
        <v>1841</v>
      </c>
      <c r="GJ176" s="174" t="s">
        <v>1876</v>
      </c>
      <c r="GL176" s="174" t="s">
        <v>1850</v>
      </c>
      <c r="HA176" s="174">
        <v>15</v>
      </c>
      <c r="HB176" s="197">
        <v>173</v>
      </c>
      <c r="HC176" s="194">
        <v>107</v>
      </c>
      <c r="HD176" s="238">
        <v>131.5</v>
      </c>
      <c r="HE176" s="236">
        <v>25</v>
      </c>
      <c r="HF176" s="183">
        <v>238</v>
      </c>
      <c r="HG176" s="193" t="e">
        <f t="shared" si="20"/>
        <v>#N/A</v>
      </c>
      <c r="HH176" s="192" t="e">
        <f t="shared" si="21"/>
        <v>#N/A</v>
      </c>
      <c r="HI176" s="198">
        <v>25</v>
      </c>
      <c r="HJ176" s="185">
        <v>176.5</v>
      </c>
      <c r="HK176" s="174">
        <v>174</v>
      </c>
      <c r="HL176" s="174">
        <v>652</v>
      </c>
      <c r="HM176" s="174">
        <v>756</v>
      </c>
      <c r="HN176" s="174">
        <v>592</v>
      </c>
      <c r="HO176" s="174">
        <v>294</v>
      </c>
      <c r="HP176" s="174">
        <v>284</v>
      </c>
      <c r="HQ176" s="174">
        <v>274</v>
      </c>
      <c r="HR176" s="174">
        <v>264</v>
      </c>
      <c r="HS176" s="174">
        <v>592</v>
      </c>
      <c r="HT176" s="174">
        <v>582</v>
      </c>
      <c r="HU176" s="174">
        <v>274</v>
      </c>
      <c r="HV176" s="174">
        <v>418</v>
      </c>
      <c r="HW176" s="174">
        <v>264</v>
      </c>
      <c r="HX176" s="174">
        <v>254</v>
      </c>
      <c r="HY176" s="174">
        <v>244</v>
      </c>
      <c r="HZ176" s="174">
        <v>234</v>
      </c>
      <c r="IA176" s="174">
        <v>408</v>
      </c>
      <c r="IB176" s="174">
        <v>388</v>
      </c>
      <c r="IC176" s="174">
        <v>234</v>
      </c>
      <c r="ID176" s="174">
        <v>204</v>
      </c>
      <c r="IE176" s="174">
        <v>184</v>
      </c>
      <c r="IF176" s="174">
        <v>176</v>
      </c>
    </row>
    <row r="177" spans="1:240" ht="13.35" customHeight="1" thickBot="1" x14ac:dyDescent="0.25">
      <c r="A177" s="174">
        <v>31</v>
      </c>
      <c r="B177" s="174">
        <f t="shared" si="25"/>
        <v>70</v>
      </c>
      <c r="E177" s="207"/>
      <c r="F177" s="174" t="s">
        <v>248</v>
      </c>
      <c r="G177" s="174" t="s">
        <v>248</v>
      </c>
      <c r="H177" s="174" t="s">
        <v>248</v>
      </c>
      <c r="I177" s="174" t="s">
        <v>248</v>
      </c>
      <c r="J177" s="174" t="s">
        <v>248</v>
      </c>
      <c r="K177" s="174" t="s">
        <v>248</v>
      </c>
      <c r="L177" s="174" t="s">
        <v>248</v>
      </c>
      <c r="M177" s="174" t="s">
        <v>1885</v>
      </c>
      <c r="N177" s="174" t="s">
        <v>1885</v>
      </c>
      <c r="O177" s="174" t="s">
        <v>248</v>
      </c>
      <c r="P177" s="174" t="s">
        <v>248</v>
      </c>
      <c r="Q177" s="174" t="s">
        <v>1885</v>
      </c>
      <c r="R177" s="174" t="s">
        <v>248</v>
      </c>
      <c r="S177" s="174" t="s">
        <v>1885</v>
      </c>
      <c r="T177" s="174" t="s">
        <v>1885</v>
      </c>
      <c r="U177" s="174" t="s">
        <v>1885</v>
      </c>
      <c r="V177" s="174" t="s">
        <v>248</v>
      </c>
      <c r="W177" s="174" t="s">
        <v>248</v>
      </c>
      <c r="X177" s="174" t="s">
        <v>248</v>
      </c>
      <c r="Y177" s="174" t="s">
        <v>248</v>
      </c>
      <c r="AA177" s="174" t="s">
        <v>248</v>
      </c>
      <c r="AB177" s="174" t="s">
        <v>248</v>
      </c>
      <c r="AC177" s="174" t="s">
        <v>248</v>
      </c>
      <c r="AD177" s="174" t="s">
        <v>248</v>
      </c>
      <c r="AF177" s="174" t="s">
        <v>1885</v>
      </c>
      <c r="AG177" s="174" t="s">
        <v>248</v>
      </c>
      <c r="AH177" s="174" t="s">
        <v>248</v>
      </c>
      <c r="AJ177" s="174" t="s">
        <v>248</v>
      </c>
      <c r="AK177" s="174" t="s">
        <v>248</v>
      </c>
      <c r="AL177" s="174" t="s">
        <v>248</v>
      </c>
      <c r="AM177" s="174" t="s">
        <v>1885</v>
      </c>
      <c r="AO177" s="174" t="s">
        <v>1885</v>
      </c>
      <c r="AP177" s="174" t="s">
        <v>1885</v>
      </c>
      <c r="AQ177" s="174" t="s">
        <v>1885</v>
      </c>
      <c r="AS177" s="174" t="s">
        <v>1886</v>
      </c>
      <c r="AT177" s="174" t="s">
        <v>1887</v>
      </c>
      <c r="AU177" s="174" t="s">
        <v>1888</v>
      </c>
      <c r="AV177" s="174" t="s">
        <v>1889</v>
      </c>
      <c r="AW177" s="174" t="s">
        <v>1890</v>
      </c>
      <c r="AX177" s="174" t="s">
        <v>1891</v>
      </c>
      <c r="AY177" s="174" t="s">
        <v>1891</v>
      </c>
      <c r="AZ177" s="174" t="s">
        <v>1892</v>
      </c>
      <c r="BA177" s="174" t="s">
        <v>1887</v>
      </c>
      <c r="BB177" s="174" t="s">
        <v>1893</v>
      </c>
      <c r="BC177" s="174" t="s">
        <v>1885</v>
      </c>
      <c r="BD177" s="174" t="s">
        <v>1894</v>
      </c>
      <c r="BE177" s="174" t="s">
        <v>1893</v>
      </c>
      <c r="BF177" s="174" t="s">
        <v>1892</v>
      </c>
      <c r="BG177" s="174" t="s">
        <v>1894</v>
      </c>
      <c r="BH177" s="174" t="s">
        <v>1886</v>
      </c>
      <c r="BI177" s="174" t="s">
        <v>1885</v>
      </c>
      <c r="BJ177" s="174" t="s">
        <v>1895</v>
      </c>
      <c r="BK177" s="174" t="s">
        <v>1896</v>
      </c>
      <c r="BL177" s="174" t="s">
        <v>1897</v>
      </c>
      <c r="BM177" s="174" t="s">
        <v>1888</v>
      </c>
      <c r="BN177" s="174" t="s">
        <v>1894</v>
      </c>
      <c r="BO177" s="174" t="s">
        <v>1898</v>
      </c>
      <c r="BP177" s="174" t="s">
        <v>1899</v>
      </c>
      <c r="BQ177" s="174" t="s">
        <v>1887</v>
      </c>
      <c r="BR177" s="174" t="s">
        <v>1895</v>
      </c>
      <c r="BS177" s="174" t="s">
        <v>1900</v>
      </c>
      <c r="BT177" s="174" t="s">
        <v>172</v>
      </c>
      <c r="BU177" s="174" t="s">
        <v>1894</v>
      </c>
      <c r="BV177" s="174" t="s">
        <v>1892</v>
      </c>
      <c r="BW177" s="174" t="s">
        <v>1901</v>
      </c>
      <c r="BX177" s="174" t="s">
        <v>1900</v>
      </c>
      <c r="BY177" s="174" t="s">
        <v>1902</v>
      </c>
      <c r="BZ177" s="174" t="s">
        <v>1886</v>
      </c>
      <c r="CA177" s="174" t="s">
        <v>1903</v>
      </c>
      <c r="CB177" s="174" t="s">
        <v>1895</v>
      </c>
      <c r="CC177" s="174" t="s">
        <v>1904</v>
      </c>
      <c r="CD177" s="174" t="s">
        <v>1892</v>
      </c>
      <c r="CE177" s="174" t="s">
        <v>1905</v>
      </c>
      <c r="CF177" s="174" t="s">
        <v>1899</v>
      </c>
      <c r="CG177" s="174" t="s">
        <v>1886</v>
      </c>
      <c r="CH177" s="174" t="s">
        <v>1899</v>
      </c>
      <c r="CI177" s="174" t="s">
        <v>1891</v>
      </c>
      <c r="CJ177" s="174" t="s">
        <v>1885</v>
      </c>
      <c r="CK177" s="174" t="s">
        <v>1899</v>
      </c>
      <c r="CL177" s="174" t="s">
        <v>1894</v>
      </c>
      <c r="CM177" s="174" t="s">
        <v>1892</v>
      </c>
      <c r="CN177" s="174" t="s">
        <v>1886</v>
      </c>
      <c r="CO177" s="174" t="s">
        <v>1896</v>
      </c>
      <c r="CP177" s="174" t="s">
        <v>1899</v>
      </c>
      <c r="CQ177" s="174" t="s">
        <v>1899</v>
      </c>
      <c r="CS177" s="174" t="s">
        <v>248</v>
      </c>
      <c r="CT177" s="174" t="s">
        <v>248</v>
      </c>
      <c r="CU177" s="174" t="s">
        <v>248</v>
      </c>
      <c r="CV177" s="174" t="s">
        <v>248</v>
      </c>
      <c r="DF177" s="174">
        <v>2</v>
      </c>
      <c r="ER177" s="174" t="s">
        <v>1878</v>
      </c>
      <c r="ES177" s="174" t="s">
        <v>1878</v>
      </c>
      <c r="EU177" s="174" t="s">
        <v>1878</v>
      </c>
      <c r="EV177" s="174" t="s">
        <v>1906</v>
      </c>
      <c r="EW177" s="174" t="s">
        <v>1906</v>
      </c>
      <c r="EX177" s="174" t="s">
        <v>1839</v>
      </c>
      <c r="EY177" s="174" t="s">
        <v>1878</v>
      </c>
      <c r="EZ177" s="174" t="s">
        <v>1878</v>
      </c>
      <c r="FA177" s="174" t="s">
        <v>1878</v>
      </c>
      <c r="FC177" s="174" t="s">
        <v>1884</v>
      </c>
      <c r="FD177" s="174" t="s">
        <v>1882</v>
      </c>
      <c r="FF177" s="174" t="s">
        <v>1875</v>
      </c>
      <c r="GJ177" s="174" t="s">
        <v>1906</v>
      </c>
      <c r="GL177" s="174" t="s">
        <v>1830</v>
      </c>
      <c r="HA177" s="174">
        <v>16</v>
      </c>
      <c r="HB177" s="197">
        <v>174</v>
      </c>
      <c r="HC177" s="194">
        <v>107</v>
      </c>
      <c r="HD177" s="238">
        <v>132</v>
      </c>
      <c r="HE177" s="236">
        <v>25</v>
      </c>
      <c r="HF177" s="183">
        <v>239</v>
      </c>
      <c r="HG177" s="193" t="e">
        <f t="shared" si="20"/>
        <v>#N/A</v>
      </c>
      <c r="HH177" s="192" t="e">
        <f t="shared" si="21"/>
        <v>#N/A</v>
      </c>
      <c r="HI177" s="198">
        <v>25</v>
      </c>
      <c r="HJ177" s="185">
        <v>177</v>
      </c>
      <c r="HK177" s="174">
        <v>175</v>
      </c>
      <c r="HL177" s="174">
        <v>655</v>
      </c>
      <c r="HM177" s="174">
        <v>760</v>
      </c>
      <c r="HN177" s="174">
        <v>595</v>
      </c>
      <c r="HO177" s="174">
        <v>295</v>
      </c>
      <c r="HP177" s="174">
        <v>285</v>
      </c>
      <c r="HQ177" s="174">
        <v>275</v>
      </c>
      <c r="HR177" s="174">
        <v>265</v>
      </c>
      <c r="HS177" s="174">
        <v>595</v>
      </c>
      <c r="HT177" s="174">
        <v>585</v>
      </c>
      <c r="HU177" s="174">
        <v>275</v>
      </c>
      <c r="HV177" s="174">
        <v>420</v>
      </c>
      <c r="HW177" s="174">
        <v>265</v>
      </c>
      <c r="HX177" s="174">
        <v>255</v>
      </c>
      <c r="HY177" s="174">
        <v>245</v>
      </c>
      <c r="HZ177" s="174">
        <v>235</v>
      </c>
      <c r="IA177" s="174">
        <v>410</v>
      </c>
      <c r="IB177" s="174">
        <v>390</v>
      </c>
      <c r="IC177" s="174">
        <v>235</v>
      </c>
      <c r="ID177" s="174">
        <v>205</v>
      </c>
      <c r="IE177" s="174">
        <v>185</v>
      </c>
      <c r="IF177" s="174">
        <v>177</v>
      </c>
    </row>
    <row r="178" spans="1:240" ht="13.35" customHeight="1" thickBot="1" x14ac:dyDescent="0.25">
      <c r="A178" s="174">
        <v>32</v>
      </c>
      <c r="B178" s="174">
        <f t="shared" si="25"/>
        <v>71</v>
      </c>
      <c r="D178" s="174" t="s">
        <v>1886</v>
      </c>
      <c r="E178" s="174" t="s">
        <v>1907</v>
      </c>
      <c r="F178" s="174" t="s">
        <v>1885</v>
      </c>
      <c r="G178" s="174" t="s">
        <v>1885</v>
      </c>
      <c r="H178" s="174" t="s">
        <v>1885</v>
      </c>
      <c r="I178" s="174" t="s">
        <v>1885</v>
      </c>
      <c r="J178" s="174" t="s">
        <v>1885</v>
      </c>
      <c r="K178" s="174" t="s">
        <v>1885</v>
      </c>
      <c r="L178" s="174" t="s">
        <v>1885</v>
      </c>
      <c r="M178" s="174" t="s">
        <v>1892</v>
      </c>
      <c r="N178" s="174" t="s">
        <v>1892</v>
      </c>
      <c r="O178" s="174" t="s">
        <v>1885</v>
      </c>
      <c r="P178" s="174" t="s">
        <v>1885</v>
      </c>
      <c r="Q178" s="174" t="s">
        <v>1892</v>
      </c>
      <c r="R178" s="174" t="s">
        <v>1885</v>
      </c>
      <c r="S178" s="174" t="s">
        <v>1892</v>
      </c>
      <c r="T178" s="174" t="s">
        <v>1892</v>
      </c>
      <c r="U178" s="174" t="s">
        <v>1892</v>
      </c>
      <c r="V178" s="174" t="s">
        <v>1885</v>
      </c>
      <c r="W178" s="174" t="s">
        <v>1885</v>
      </c>
      <c r="X178" s="174" t="s">
        <v>1885</v>
      </c>
      <c r="Y178" s="174" t="s">
        <v>1885</v>
      </c>
      <c r="AA178" s="174" t="s">
        <v>1885</v>
      </c>
      <c r="AB178" s="174" t="s">
        <v>1885</v>
      </c>
      <c r="AC178" s="174" t="s">
        <v>1885</v>
      </c>
      <c r="AD178" s="174" t="s">
        <v>1885</v>
      </c>
      <c r="AF178" s="174" t="s">
        <v>1892</v>
      </c>
      <c r="AG178" s="174" t="s">
        <v>1885</v>
      </c>
      <c r="AH178" s="174" t="s">
        <v>1885</v>
      </c>
      <c r="AJ178" s="174" t="s">
        <v>1885</v>
      </c>
      <c r="AK178" s="174" t="s">
        <v>1885</v>
      </c>
      <c r="AL178" s="174" t="s">
        <v>1885</v>
      </c>
      <c r="AM178" s="174" t="s">
        <v>1892</v>
      </c>
      <c r="AO178" s="174" t="s">
        <v>1892</v>
      </c>
      <c r="AP178" s="174" t="s">
        <v>1892</v>
      </c>
      <c r="AQ178" s="174" t="s">
        <v>1892</v>
      </c>
      <c r="CS178" s="174" t="s">
        <v>1885</v>
      </c>
      <c r="CT178" s="174" t="s">
        <v>1885</v>
      </c>
      <c r="CU178" s="174" t="s">
        <v>1885</v>
      </c>
      <c r="CV178" s="174" t="s">
        <v>1885</v>
      </c>
      <c r="DF178" s="174">
        <v>3</v>
      </c>
      <c r="ER178" s="174" t="s">
        <v>1879</v>
      </c>
      <c r="ES178" s="174" t="s">
        <v>1879</v>
      </c>
      <c r="EU178" s="174" t="s">
        <v>1879</v>
      </c>
      <c r="EV178" s="174" t="s">
        <v>1875</v>
      </c>
      <c r="EW178" s="174" t="s">
        <v>1875</v>
      </c>
      <c r="EX178" s="174" t="s">
        <v>1841</v>
      </c>
      <c r="EY178" s="174" t="s">
        <v>1879</v>
      </c>
      <c r="EZ178" s="174" t="s">
        <v>1879</v>
      </c>
      <c r="FA178" s="174" t="s">
        <v>1879</v>
      </c>
      <c r="FD178" s="174" t="s">
        <v>1861</v>
      </c>
      <c r="FF178" s="174" t="s">
        <v>1879</v>
      </c>
      <c r="GJ178" s="174" t="s">
        <v>1875</v>
      </c>
      <c r="GL178" s="174" t="s">
        <v>1865</v>
      </c>
      <c r="HA178" s="174">
        <v>17</v>
      </c>
      <c r="HB178" s="197">
        <v>175</v>
      </c>
      <c r="HC178" s="194">
        <v>108</v>
      </c>
      <c r="HD178" s="238">
        <v>132.5</v>
      </c>
      <c r="HE178" s="236">
        <v>25</v>
      </c>
      <c r="HF178" s="183">
        <v>240</v>
      </c>
      <c r="HG178" s="193" t="e">
        <f t="shared" si="20"/>
        <v>#N/A</v>
      </c>
      <c r="HH178" s="192" t="e">
        <f t="shared" si="21"/>
        <v>#N/A</v>
      </c>
      <c r="HI178" s="198">
        <v>25</v>
      </c>
      <c r="HJ178" s="185">
        <v>177.5</v>
      </c>
      <c r="HK178" s="174">
        <v>176</v>
      </c>
      <c r="HL178" s="174">
        <v>658</v>
      </c>
      <c r="HM178" s="174">
        <v>764</v>
      </c>
      <c r="HN178" s="174">
        <v>598</v>
      </c>
      <c r="HO178" s="174">
        <v>296</v>
      </c>
      <c r="HP178" s="174">
        <v>286</v>
      </c>
      <c r="HQ178" s="174">
        <v>276</v>
      </c>
      <c r="HR178" s="174">
        <v>266</v>
      </c>
      <c r="HS178" s="174">
        <v>598</v>
      </c>
      <c r="HT178" s="174">
        <v>588</v>
      </c>
      <c r="HU178" s="174">
        <v>276</v>
      </c>
      <c r="HV178" s="174">
        <v>422</v>
      </c>
      <c r="HW178" s="174">
        <v>266</v>
      </c>
      <c r="HX178" s="174">
        <v>256</v>
      </c>
      <c r="HY178" s="174">
        <v>246</v>
      </c>
      <c r="HZ178" s="174">
        <v>236</v>
      </c>
      <c r="IA178" s="174">
        <v>412</v>
      </c>
      <c r="IB178" s="174">
        <v>392</v>
      </c>
      <c r="IC178" s="174">
        <v>236</v>
      </c>
      <c r="ID178" s="174">
        <v>206</v>
      </c>
      <c r="IE178" s="174">
        <v>186</v>
      </c>
      <c r="IF178" s="174">
        <v>178</v>
      </c>
    </row>
    <row r="179" spans="1:240" ht="13.35" customHeight="1" thickBot="1" x14ac:dyDescent="0.25">
      <c r="A179" s="174">
        <v>33</v>
      </c>
      <c r="B179" s="174">
        <f t="shared" si="25"/>
        <v>72</v>
      </c>
      <c r="D179" s="174" t="s">
        <v>1899</v>
      </c>
      <c r="E179" s="174" t="s">
        <v>1908</v>
      </c>
      <c r="F179" s="174" t="s">
        <v>1892</v>
      </c>
      <c r="G179" s="174" t="s">
        <v>1892</v>
      </c>
      <c r="H179" s="174" t="s">
        <v>1892</v>
      </c>
      <c r="I179" s="174" t="s">
        <v>1892</v>
      </c>
      <c r="J179" s="174" t="s">
        <v>1892</v>
      </c>
      <c r="K179" s="174" t="s">
        <v>1892</v>
      </c>
      <c r="L179" s="174" t="s">
        <v>1892</v>
      </c>
      <c r="M179" s="174" t="s">
        <v>1901</v>
      </c>
      <c r="N179" s="174" t="s">
        <v>1901</v>
      </c>
      <c r="O179" s="174" t="s">
        <v>1892</v>
      </c>
      <c r="P179" s="174" t="s">
        <v>1892</v>
      </c>
      <c r="Q179" s="174" t="s">
        <v>1901</v>
      </c>
      <c r="R179" s="174" t="s">
        <v>1892</v>
      </c>
      <c r="S179" s="174" t="s">
        <v>1901</v>
      </c>
      <c r="T179" s="174" t="s">
        <v>1901</v>
      </c>
      <c r="U179" s="174" t="s">
        <v>1901</v>
      </c>
      <c r="V179" s="174" t="s">
        <v>1892</v>
      </c>
      <c r="W179" s="174" t="s">
        <v>1892</v>
      </c>
      <c r="X179" s="174" t="s">
        <v>1892</v>
      </c>
      <c r="Y179" s="174" t="s">
        <v>1892</v>
      </c>
      <c r="AA179" s="174" t="s">
        <v>1892</v>
      </c>
      <c r="AB179" s="174" t="s">
        <v>1892</v>
      </c>
      <c r="AC179" s="174" t="s">
        <v>1892</v>
      </c>
      <c r="AD179" s="174" t="s">
        <v>1892</v>
      </c>
      <c r="AF179" s="174" t="s">
        <v>1901</v>
      </c>
      <c r="AG179" s="174" t="s">
        <v>1892</v>
      </c>
      <c r="AH179" s="174" t="s">
        <v>1892</v>
      </c>
      <c r="AJ179" s="174" t="s">
        <v>1892</v>
      </c>
      <c r="AK179" s="174" t="s">
        <v>1892</v>
      </c>
      <c r="AL179" s="174" t="s">
        <v>1892</v>
      </c>
      <c r="AM179" s="174" t="s">
        <v>1901</v>
      </c>
      <c r="AO179" s="174" t="s">
        <v>1901</v>
      </c>
      <c r="AP179" s="174" t="s">
        <v>1901</v>
      </c>
      <c r="AQ179" s="174" t="s">
        <v>1901</v>
      </c>
      <c r="CS179" s="174" t="s">
        <v>1892</v>
      </c>
      <c r="CT179" s="174" t="s">
        <v>1892</v>
      </c>
      <c r="CU179" s="174" t="s">
        <v>1892</v>
      </c>
      <c r="CV179" s="174" t="s">
        <v>1892</v>
      </c>
      <c r="DF179" s="174">
        <v>4</v>
      </c>
      <c r="ER179" s="174" t="s">
        <v>1882</v>
      </c>
      <c r="ES179" s="174" t="s">
        <v>1882</v>
      </c>
      <c r="EU179" s="174" t="s">
        <v>1882</v>
      </c>
      <c r="EV179" s="174" t="s">
        <v>1832</v>
      </c>
      <c r="EW179" s="174" t="s">
        <v>1832</v>
      </c>
      <c r="EX179" s="174" t="s">
        <v>1876</v>
      </c>
      <c r="EY179" s="174" t="s">
        <v>1882</v>
      </c>
      <c r="EZ179" s="174" t="s">
        <v>1882</v>
      </c>
      <c r="FA179" s="174" t="s">
        <v>1882</v>
      </c>
      <c r="FD179" s="174" t="s">
        <v>1840</v>
      </c>
      <c r="FF179" s="174" t="s">
        <v>1882</v>
      </c>
      <c r="GJ179" s="174" t="s">
        <v>1853</v>
      </c>
      <c r="GL179" s="174" t="s">
        <v>1864</v>
      </c>
      <c r="HA179" s="174">
        <v>18</v>
      </c>
      <c r="HB179" s="197">
        <v>176</v>
      </c>
      <c r="HC179" s="194">
        <v>108</v>
      </c>
      <c r="HD179" s="238">
        <v>133</v>
      </c>
      <c r="HE179" s="236">
        <v>25</v>
      </c>
      <c r="HF179" s="183">
        <v>241</v>
      </c>
      <c r="HG179" s="193" t="e">
        <f t="shared" si="20"/>
        <v>#N/A</v>
      </c>
      <c r="HH179" s="192" t="e">
        <f t="shared" si="21"/>
        <v>#N/A</v>
      </c>
      <c r="HI179" s="198">
        <v>25</v>
      </c>
      <c r="HJ179" s="185">
        <v>178</v>
      </c>
      <c r="HK179" s="174">
        <v>177</v>
      </c>
      <c r="HL179" s="174">
        <v>661</v>
      </c>
      <c r="HM179" s="174">
        <v>768</v>
      </c>
      <c r="HN179" s="174">
        <v>601</v>
      </c>
      <c r="HO179" s="174">
        <v>297</v>
      </c>
      <c r="HP179" s="174">
        <v>287</v>
      </c>
      <c r="HQ179" s="174">
        <v>277</v>
      </c>
      <c r="HR179" s="174">
        <v>267</v>
      </c>
      <c r="HS179" s="174">
        <v>601</v>
      </c>
      <c r="HT179" s="174">
        <v>591</v>
      </c>
      <c r="HU179" s="174">
        <v>277</v>
      </c>
      <c r="HV179" s="174">
        <v>424</v>
      </c>
      <c r="HW179" s="174">
        <v>267</v>
      </c>
      <c r="HX179" s="174">
        <v>257</v>
      </c>
      <c r="HY179" s="174">
        <v>247</v>
      </c>
      <c r="HZ179" s="174">
        <v>237</v>
      </c>
      <c r="IA179" s="174">
        <v>414</v>
      </c>
      <c r="IB179" s="174">
        <v>394</v>
      </c>
      <c r="IC179" s="174">
        <v>237</v>
      </c>
      <c r="ID179" s="174">
        <v>207</v>
      </c>
      <c r="IE179" s="174">
        <v>187</v>
      </c>
      <c r="IF179" s="174">
        <v>179</v>
      </c>
    </row>
    <row r="180" spans="1:240" ht="13.35" customHeight="1" thickBot="1" x14ac:dyDescent="0.25">
      <c r="A180" s="174">
        <v>34</v>
      </c>
      <c r="B180" s="174">
        <f t="shared" si="25"/>
        <v>73</v>
      </c>
      <c r="D180" s="174" t="s">
        <v>1898</v>
      </c>
      <c r="E180" s="174" t="s">
        <v>1909</v>
      </c>
      <c r="F180" s="174" t="s">
        <v>1901</v>
      </c>
      <c r="G180" s="174" t="s">
        <v>1901</v>
      </c>
      <c r="H180" s="174" t="s">
        <v>1901</v>
      </c>
      <c r="I180" s="174" t="s">
        <v>1901</v>
      </c>
      <c r="J180" s="174" t="s">
        <v>1901</v>
      </c>
      <c r="K180" s="174" t="s">
        <v>1901</v>
      </c>
      <c r="L180" s="174" t="s">
        <v>1901</v>
      </c>
      <c r="M180" s="174" t="s">
        <v>1896</v>
      </c>
      <c r="N180" s="174" t="s">
        <v>1896</v>
      </c>
      <c r="O180" s="174" t="s">
        <v>1901</v>
      </c>
      <c r="P180" s="174" t="s">
        <v>1901</v>
      </c>
      <c r="Q180" s="174" t="s">
        <v>1896</v>
      </c>
      <c r="R180" s="174" t="s">
        <v>1901</v>
      </c>
      <c r="S180" s="174" t="s">
        <v>1896</v>
      </c>
      <c r="T180" s="174" t="s">
        <v>1896</v>
      </c>
      <c r="U180" s="174" t="s">
        <v>1896</v>
      </c>
      <c r="V180" s="174" t="s">
        <v>1901</v>
      </c>
      <c r="W180" s="174" t="s">
        <v>1901</v>
      </c>
      <c r="X180" s="174" t="s">
        <v>1901</v>
      </c>
      <c r="Y180" s="174" t="s">
        <v>1901</v>
      </c>
      <c r="AA180" s="174" t="s">
        <v>1901</v>
      </c>
      <c r="AB180" s="174" t="s">
        <v>1901</v>
      </c>
      <c r="AC180" s="174" t="s">
        <v>1901</v>
      </c>
      <c r="AD180" s="174" t="s">
        <v>1901</v>
      </c>
      <c r="AF180" s="174" t="s">
        <v>1896</v>
      </c>
      <c r="AG180" s="174" t="s">
        <v>1901</v>
      </c>
      <c r="AH180" s="174" t="s">
        <v>1901</v>
      </c>
      <c r="AJ180" s="174" t="s">
        <v>1901</v>
      </c>
      <c r="AK180" s="174" t="s">
        <v>1901</v>
      </c>
      <c r="AL180" s="174" t="s">
        <v>1901</v>
      </c>
      <c r="AM180" s="174" t="s">
        <v>1896</v>
      </c>
      <c r="AO180" s="174" t="s">
        <v>1896</v>
      </c>
      <c r="AP180" s="174" t="s">
        <v>1896</v>
      </c>
      <c r="AQ180" s="174" t="s">
        <v>1896</v>
      </c>
      <c r="CS180" s="174" t="s">
        <v>1901</v>
      </c>
      <c r="CT180" s="174" t="s">
        <v>1901</v>
      </c>
      <c r="CU180" s="174" t="s">
        <v>1901</v>
      </c>
      <c r="CV180" s="174" t="s">
        <v>1901</v>
      </c>
      <c r="DF180" s="174">
        <v>5</v>
      </c>
      <c r="EV180" s="174" t="s">
        <v>743</v>
      </c>
      <c r="EW180" s="174" t="s">
        <v>743</v>
      </c>
      <c r="EX180" s="174" t="s">
        <v>1910</v>
      </c>
      <c r="FD180" s="174" t="s">
        <v>1910</v>
      </c>
      <c r="FF180" s="174" t="s">
        <v>1877</v>
      </c>
      <c r="GJ180" s="174" t="s">
        <v>743</v>
      </c>
      <c r="GL180" s="174" t="s">
        <v>1859</v>
      </c>
      <c r="HA180" s="174">
        <v>19</v>
      </c>
      <c r="HB180" s="197">
        <v>177</v>
      </c>
      <c r="HC180" s="194">
        <v>109</v>
      </c>
      <c r="HD180" s="238">
        <v>133.5</v>
      </c>
      <c r="HE180" s="236">
        <v>25</v>
      </c>
      <c r="HF180" s="183">
        <v>242</v>
      </c>
      <c r="HG180" s="193" t="e">
        <f t="shared" si="20"/>
        <v>#N/A</v>
      </c>
      <c r="HH180" s="192" t="e">
        <f t="shared" si="21"/>
        <v>#N/A</v>
      </c>
      <c r="HI180" s="198">
        <v>25</v>
      </c>
      <c r="HJ180" s="185">
        <v>178.5</v>
      </c>
      <c r="HK180" s="174">
        <v>178</v>
      </c>
      <c r="HL180" s="174">
        <v>664</v>
      </c>
      <c r="HM180" s="174">
        <v>772</v>
      </c>
      <c r="HN180" s="174">
        <v>604</v>
      </c>
      <c r="HO180" s="174">
        <v>298</v>
      </c>
      <c r="HP180" s="174">
        <v>288</v>
      </c>
      <c r="HQ180" s="174">
        <v>278</v>
      </c>
      <c r="HR180" s="174">
        <v>268</v>
      </c>
      <c r="HS180" s="174">
        <v>604</v>
      </c>
      <c r="HT180" s="174">
        <v>594</v>
      </c>
      <c r="HU180" s="174">
        <v>278</v>
      </c>
      <c r="HV180" s="174">
        <v>426</v>
      </c>
      <c r="HW180" s="174">
        <v>268</v>
      </c>
      <c r="HX180" s="174">
        <v>258</v>
      </c>
      <c r="HY180" s="174">
        <v>248</v>
      </c>
      <c r="HZ180" s="174">
        <v>238</v>
      </c>
      <c r="IA180" s="174">
        <v>416</v>
      </c>
      <c r="IB180" s="174">
        <v>396</v>
      </c>
      <c r="IC180" s="174">
        <v>238</v>
      </c>
      <c r="ID180" s="174">
        <v>208</v>
      </c>
      <c r="IE180" s="174">
        <v>188</v>
      </c>
      <c r="IF180" s="174">
        <v>180</v>
      </c>
    </row>
    <row r="181" spans="1:240" ht="13.35" customHeight="1" thickBot="1" x14ac:dyDescent="0.25">
      <c r="A181" s="174">
        <v>35</v>
      </c>
      <c r="B181" s="174">
        <f t="shared" ref="B181:B190" si="27">A181+33</f>
        <v>68</v>
      </c>
      <c r="D181" s="174" t="s">
        <v>1903</v>
      </c>
      <c r="E181" s="174" t="s">
        <v>1911</v>
      </c>
      <c r="F181" s="174" t="s">
        <v>1896</v>
      </c>
      <c r="G181" s="174" t="s">
        <v>1896</v>
      </c>
      <c r="H181" s="174" t="s">
        <v>1896</v>
      </c>
      <c r="I181" s="174" t="s">
        <v>1896</v>
      </c>
      <c r="J181" s="174" t="s">
        <v>1896</v>
      </c>
      <c r="K181" s="174" t="s">
        <v>1896</v>
      </c>
      <c r="L181" s="174" t="s">
        <v>1896</v>
      </c>
      <c r="M181" s="174" t="s">
        <v>1897</v>
      </c>
      <c r="N181" s="174" t="s">
        <v>1897</v>
      </c>
      <c r="O181" s="174" t="s">
        <v>1896</v>
      </c>
      <c r="P181" s="174" t="s">
        <v>1896</v>
      </c>
      <c r="Q181" s="174" t="s">
        <v>1897</v>
      </c>
      <c r="R181" s="174" t="s">
        <v>1896</v>
      </c>
      <c r="S181" s="174" t="s">
        <v>1897</v>
      </c>
      <c r="T181" s="174" t="s">
        <v>1897</v>
      </c>
      <c r="U181" s="174" t="s">
        <v>1897</v>
      </c>
      <c r="V181" s="174" t="s">
        <v>1896</v>
      </c>
      <c r="W181" s="174" t="s">
        <v>1896</v>
      </c>
      <c r="X181" s="174" t="s">
        <v>1896</v>
      </c>
      <c r="Y181" s="174" t="s">
        <v>1896</v>
      </c>
      <c r="AA181" s="174" t="s">
        <v>1896</v>
      </c>
      <c r="AB181" s="174" t="s">
        <v>1896</v>
      </c>
      <c r="AC181" s="174" t="s">
        <v>1896</v>
      </c>
      <c r="AD181" s="174" t="s">
        <v>1896</v>
      </c>
      <c r="AF181" s="174" t="s">
        <v>1897</v>
      </c>
      <c r="AG181" s="174" t="s">
        <v>1896</v>
      </c>
      <c r="AH181" s="174" t="s">
        <v>1896</v>
      </c>
      <c r="AJ181" s="174" t="s">
        <v>1896</v>
      </c>
      <c r="AK181" s="174" t="s">
        <v>1896</v>
      </c>
      <c r="AL181" s="174" t="s">
        <v>1896</v>
      </c>
      <c r="AM181" s="174" t="s">
        <v>1897</v>
      </c>
      <c r="AO181" s="174" t="s">
        <v>1897</v>
      </c>
      <c r="AP181" s="174" t="s">
        <v>1897</v>
      </c>
      <c r="AQ181" s="174" t="s">
        <v>1897</v>
      </c>
      <c r="CS181" s="174" t="s">
        <v>1896</v>
      </c>
      <c r="CT181" s="174" t="s">
        <v>1896</v>
      </c>
      <c r="CU181" s="174" t="s">
        <v>1896</v>
      </c>
      <c r="CV181" s="174" t="s">
        <v>1896</v>
      </c>
      <c r="DF181" s="174">
        <v>6</v>
      </c>
      <c r="EV181" s="174" t="s">
        <v>1883</v>
      </c>
      <c r="EW181" s="174" t="s">
        <v>1883</v>
      </c>
      <c r="EX181" s="174" t="s">
        <v>1906</v>
      </c>
      <c r="FD181" s="174" t="s">
        <v>1912</v>
      </c>
      <c r="FF181" s="174" t="s">
        <v>1859</v>
      </c>
      <c r="GJ181" s="174" t="s">
        <v>1883</v>
      </c>
      <c r="GL181" s="174" t="s">
        <v>1832</v>
      </c>
      <c r="HA181" s="174">
        <v>20</v>
      </c>
      <c r="HB181" s="197">
        <v>178</v>
      </c>
      <c r="HC181" s="194">
        <v>109</v>
      </c>
      <c r="HD181" s="238">
        <v>134</v>
      </c>
      <c r="HE181" s="236">
        <v>25</v>
      </c>
      <c r="HF181" s="183">
        <v>243</v>
      </c>
      <c r="HG181" s="193" t="e">
        <f t="shared" si="20"/>
        <v>#N/A</v>
      </c>
      <c r="HH181" s="192" t="e">
        <f t="shared" si="21"/>
        <v>#N/A</v>
      </c>
      <c r="HI181" s="198">
        <v>25</v>
      </c>
      <c r="HJ181" s="185">
        <v>179</v>
      </c>
      <c r="HK181" s="174">
        <v>179</v>
      </c>
      <c r="HL181" s="174">
        <v>667</v>
      </c>
      <c r="HM181" s="174">
        <v>776</v>
      </c>
      <c r="HN181" s="174">
        <v>607</v>
      </c>
      <c r="HO181" s="174">
        <v>299</v>
      </c>
      <c r="HP181" s="174">
        <v>289</v>
      </c>
      <c r="HQ181" s="174">
        <v>279</v>
      </c>
      <c r="HR181" s="174">
        <v>269</v>
      </c>
      <c r="HS181" s="174">
        <v>607</v>
      </c>
      <c r="HT181" s="174">
        <v>597</v>
      </c>
      <c r="HU181" s="174">
        <v>279</v>
      </c>
      <c r="HV181" s="174">
        <v>428</v>
      </c>
      <c r="HW181" s="174">
        <v>269</v>
      </c>
      <c r="HX181" s="174">
        <v>259</v>
      </c>
      <c r="HY181" s="174">
        <v>249</v>
      </c>
      <c r="HZ181" s="174">
        <v>239</v>
      </c>
      <c r="IA181" s="174">
        <v>418</v>
      </c>
      <c r="IB181" s="174">
        <v>398</v>
      </c>
      <c r="IC181" s="174">
        <v>239</v>
      </c>
      <c r="ID181" s="174">
        <v>209</v>
      </c>
      <c r="IE181" s="174">
        <v>189</v>
      </c>
      <c r="IF181" s="174">
        <v>181</v>
      </c>
    </row>
    <row r="182" spans="1:240" ht="13.35" customHeight="1" thickBot="1" x14ac:dyDescent="0.25">
      <c r="A182" s="174">
        <v>36</v>
      </c>
      <c r="B182" s="174">
        <f t="shared" si="27"/>
        <v>69</v>
      </c>
      <c r="D182" s="174" t="s">
        <v>1892</v>
      </c>
      <c r="E182" s="174" t="s">
        <v>1913</v>
      </c>
      <c r="F182" s="174" t="s">
        <v>1897</v>
      </c>
      <c r="G182" s="174" t="s">
        <v>1897</v>
      </c>
      <c r="H182" s="174" t="s">
        <v>1897</v>
      </c>
      <c r="I182" s="174" t="s">
        <v>1897</v>
      </c>
      <c r="J182" s="174" t="s">
        <v>1897</v>
      </c>
      <c r="K182" s="174" t="s">
        <v>1897</v>
      </c>
      <c r="L182" s="174" t="s">
        <v>1897</v>
      </c>
      <c r="M182" s="174" t="s">
        <v>1904</v>
      </c>
      <c r="N182" s="174" t="s">
        <v>1904</v>
      </c>
      <c r="O182" s="174" t="s">
        <v>1897</v>
      </c>
      <c r="P182" s="174" t="s">
        <v>1897</v>
      </c>
      <c r="Q182" s="174" t="s">
        <v>1904</v>
      </c>
      <c r="R182" s="174" t="s">
        <v>1897</v>
      </c>
      <c r="S182" s="174" t="s">
        <v>1904</v>
      </c>
      <c r="T182" s="174" t="s">
        <v>1904</v>
      </c>
      <c r="U182" s="174" t="s">
        <v>1904</v>
      </c>
      <c r="V182" s="174" t="s">
        <v>1897</v>
      </c>
      <c r="W182" s="174" t="s">
        <v>1897</v>
      </c>
      <c r="X182" s="174" t="s">
        <v>1897</v>
      </c>
      <c r="Y182" s="174" t="s">
        <v>1897</v>
      </c>
      <c r="AA182" s="174" t="s">
        <v>1897</v>
      </c>
      <c r="AB182" s="174" t="s">
        <v>1897</v>
      </c>
      <c r="AC182" s="174" t="s">
        <v>1897</v>
      </c>
      <c r="AD182" s="174" t="s">
        <v>1897</v>
      </c>
      <c r="AF182" s="174" t="s">
        <v>1904</v>
      </c>
      <c r="AG182" s="174" t="s">
        <v>1897</v>
      </c>
      <c r="AH182" s="174" t="s">
        <v>1897</v>
      </c>
      <c r="AJ182" s="174" t="s">
        <v>1897</v>
      </c>
      <c r="AK182" s="174" t="s">
        <v>1897</v>
      </c>
      <c r="AL182" s="174" t="s">
        <v>1897</v>
      </c>
      <c r="AM182" s="174" t="s">
        <v>1904</v>
      </c>
      <c r="AO182" s="174" t="s">
        <v>1904</v>
      </c>
      <c r="AP182" s="174" t="s">
        <v>1904</v>
      </c>
      <c r="AQ182" s="174" t="s">
        <v>1904</v>
      </c>
      <c r="CS182" s="174" t="s">
        <v>1897</v>
      </c>
      <c r="CT182" s="174" t="s">
        <v>1897</v>
      </c>
      <c r="CU182" s="174" t="s">
        <v>1897</v>
      </c>
      <c r="CV182" s="174" t="s">
        <v>1897</v>
      </c>
      <c r="DF182" s="174">
        <v>7</v>
      </c>
      <c r="EX182" s="174" t="s">
        <v>1914</v>
      </c>
      <c r="FF182" s="174" t="s">
        <v>1884</v>
      </c>
      <c r="HA182" s="174">
        <v>21</v>
      </c>
      <c r="HB182" s="197">
        <v>179</v>
      </c>
      <c r="HC182" s="194">
        <v>110</v>
      </c>
      <c r="HD182" s="238">
        <v>134.5</v>
      </c>
      <c r="HE182" s="236">
        <v>25</v>
      </c>
      <c r="HF182" s="183">
        <v>244</v>
      </c>
      <c r="HG182" s="193" t="e">
        <f t="shared" si="20"/>
        <v>#N/A</v>
      </c>
      <c r="HH182" s="192" t="e">
        <f t="shared" si="21"/>
        <v>#N/A</v>
      </c>
      <c r="HI182" s="198">
        <v>25</v>
      </c>
      <c r="HJ182" s="185">
        <v>179.5</v>
      </c>
      <c r="HK182" s="174">
        <v>180</v>
      </c>
      <c r="HL182" s="174">
        <v>670</v>
      </c>
      <c r="HM182" s="174">
        <v>780</v>
      </c>
      <c r="HN182" s="174">
        <v>610</v>
      </c>
      <c r="HO182" s="174">
        <v>300</v>
      </c>
      <c r="HP182" s="174">
        <v>290</v>
      </c>
      <c r="HQ182" s="174">
        <v>280</v>
      </c>
      <c r="HR182" s="174">
        <v>270</v>
      </c>
      <c r="HS182" s="174">
        <v>610</v>
      </c>
      <c r="HT182" s="174">
        <v>600</v>
      </c>
      <c r="HU182" s="174">
        <v>280</v>
      </c>
      <c r="HV182" s="174">
        <v>430</v>
      </c>
      <c r="HW182" s="174">
        <v>270</v>
      </c>
      <c r="HX182" s="174">
        <v>260</v>
      </c>
      <c r="HY182" s="174">
        <v>250</v>
      </c>
      <c r="HZ182" s="174">
        <v>240</v>
      </c>
      <c r="IA182" s="174">
        <v>420</v>
      </c>
      <c r="IB182" s="174">
        <v>400</v>
      </c>
      <c r="IC182" s="174">
        <v>240</v>
      </c>
      <c r="ID182" s="174">
        <v>210</v>
      </c>
      <c r="IE182" s="174">
        <v>190</v>
      </c>
      <c r="IF182" s="174">
        <v>182</v>
      </c>
    </row>
    <row r="183" spans="1:240" ht="13.35" customHeight="1" thickBot="1" x14ac:dyDescent="0.25">
      <c r="A183" s="174">
        <v>37</v>
      </c>
      <c r="B183" s="174">
        <f t="shared" si="27"/>
        <v>70</v>
      </c>
      <c r="D183" s="174" t="s">
        <v>1894</v>
      </c>
      <c r="E183" s="174" t="s">
        <v>1915</v>
      </c>
      <c r="F183" s="174" t="s">
        <v>1904</v>
      </c>
      <c r="G183" s="174" t="s">
        <v>1904</v>
      </c>
      <c r="H183" s="174" t="s">
        <v>1904</v>
      </c>
      <c r="I183" s="174" t="s">
        <v>1904</v>
      </c>
      <c r="J183" s="174" t="s">
        <v>1904</v>
      </c>
      <c r="K183" s="174" t="s">
        <v>1904</v>
      </c>
      <c r="L183" s="174" t="s">
        <v>1904</v>
      </c>
      <c r="M183" s="174" t="s">
        <v>1895</v>
      </c>
      <c r="N183" s="174" t="s">
        <v>1895</v>
      </c>
      <c r="O183" s="174" t="s">
        <v>1904</v>
      </c>
      <c r="P183" s="174" t="s">
        <v>1904</v>
      </c>
      <c r="Q183" s="174" t="s">
        <v>1895</v>
      </c>
      <c r="R183" s="174" t="s">
        <v>1904</v>
      </c>
      <c r="S183" s="174" t="s">
        <v>1895</v>
      </c>
      <c r="T183" s="174" t="s">
        <v>1895</v>
      </c>
      <c r="U183" s="174" t="s">
        <v>1895</v>
      </c>
      <c r="V183" s="174" t="s">
        <v>1904</v>
      </c>
      <c r="W183" s="174" t="s">
        <v>1904</v>
      </c>
      <c r="X183" s="174" t="s">
        <v>1904</v>
      </c>
      <c r="Y183" s="174" t="s">
        <v>1904</v>
      </c>
      <c r="AA183" s="174" t="s">
        <v>1904</v>
      </c>
      <c r="AB183" s="174" t="s">
        <v>1904</v>
      </c>
      <c r="AC183" s="174" t="s">
        <v>1904</v>
      </c>
      <c r="AD183" s="174" t="s">
        <v>1904</v>
      </c>
      <c r="AF183" s="174" t="s">
        <v>1895</v>
      </c>
      <c r="AG183" s="174" t="s">
        <v>1904</v>
      </c>
      <c r="AH183" s="174" t="s">
        <v>1904</v>
      </c>
      <c r="AJ183" s="174" t="s">
        <v>1904</v>
      </c>
      <c r="AK183" s="174" t="s">
        <v>1904</v>
      </c>
      <c r="AL183" s="174" t="s">
        <v>1904</v>
      </c>
      <c r="AM183" s="174" t="s">
        <v>1895</v>
      </c>
      <c r="AO183" s="174" t="s">
        <v>1895</v>
      </c>
      <c r="AP183" s="174" t="s">
        <v>1895</v>
      </c>
      <c r="AQ183" s="174" t="s">
        <v>1895</v>
      </c>
      <c r="CS183" s="174" t="s">
        <v>1904</v>
      </c>
      <c r="CT183" s="174" t="s">
        <v>1904</v>
      </c>
      <c r="CU183" s="174" t="s">
        <v>1904</v>
      </c>
      <c r="CV183" s="174" t="s">
        <v>1904</v>
      </c>
      <c r="DF183" s="174">
        <v>8</v>
      </c>
      <c r="EX183" s="174" t="s">
        <v>1875</v>
      </c>
      <c r="FF183" s="174" t="s">
        <v>1910</v>
      </c>
      <c r="HA183" s="174">
        <v>22</v>
      </c>
      <c r="HB183" s="197">
        <v>180</v>
      </c>
      <c r="HC183" s="194">
        <v>110</v>
      </c>
      <c r="HD183" s="238">
        <v>135</v>
      </c>
      <c r="HE183" s="236">
        <v>25</v>
      </c>
      <c r="HF183" s="183">
        <v>245</v>
      </c>
      <c r="HG183" s="193" t="e">
        <f t="shared" si="20"/>
        <v>#N/A</v>
      </c>
      <c r="HH183" s="192" t="e">
        <f t="shared" si="21"/>
        <v>#N/A</v>
      </c>
      <c r="HI183" s="198">
        <v>25</v>
      </c>
      <c r="HJ183" s="185">
        <v>180</v>
      </c>
      <c r="HK183" s="174">
        <v>181</v>
      </c>
      <c r="HL183" s="174">
        <v>673</v>
      </c>
      <c r="HM183" s="174">
        <v>784</v>
      </c>
      <c r="HN183" s="174">
        <v>613</v>
      </c>
      <c r="HO183" s="174">
        <v>301</v>
      </c>
      <c r="HP183" s="174">
        <v>291</v>
      </c>
      <c r="HQ183" s="174">
        <v>281</v>
      </c>
      <c r="HR183" s="174">
        <v>271</v>
      </c>
      <c r="HS183" s="174">
        <v>613</v>
      </c>
      <c r="HT183" s="174">
        <v>603</v>
      </c>
      <c r="HU183" s="174">
        <v>281</v>
      </c>
      <c r="HV183" s="174">
        <v>432</v>
      </c>
      <c r="HW183" s="174">
        <v>271</v>
      </c>
      <c r="HX183" s="174">
        <v>261</v>
      </c>
      <c r="HY183" s="174">
        <v>251</v>
      </c>
      <c r="HZ183" s="174">
        <v>241</v>
      </c>
      <c r="IA183" s="174">
        <v>422</v>
      </c>
      <c r="IB183" s="174">
        <v>402</v>
      </c>
      <c r="IC183" s="174">
        <v>241</v>
      </c>
      <c r="ID183" s="174">
        <v>211</v>
      </c>
      <c r="IE183" s="174">
        <v>191</v>
      </c>
      <c r="IF183" s="174">
        <v>183</v>
      </c>
    </row>
    <row r="184" spans="1:240" ht="13.35" customHeight="1" thickBot="1" x14ac:dyDescent="0.25">
      <c r="A184" s="174">
        <v>38</v>
      </c>
      <c r="B184" s="174">
        <f t="shared" si="27"/>
        <v>71</v>
      </c>
      <c r="D184" s="174" t="s">
        <v>1905</v>
      </c>
      <c r="E184" s="174" t="s">
        <v>1916</v>
      </c>
      <c r="F184" s="174" t="s">
        <v>1895</v>
      </c>
      <c r="G184" s="174" t="s">
        <v>1895</v>
      </c>
      <c r="H184" s="174" t="s">
        <v>1895</v>
      </c>
      <c r="I184" s="174" t="s">
        <v>1895</v>
      </c>
      <c r="J184" s="174" t="s">
        <v>1895</v>
      </c>
      <c r="K184" s="174" t="s">
        <v>1895</v>
      </c>
      <c r="L184" s="174" t="s">
        <v>1895</v>
      </c>
      <c r="M184" s="174" t="s">
        <v>1899</v>
      </c>
      <c r="N184" s="174" t="s">
        <v>1899</v>
      </c>
      <c r="O184" s="174" t="s">
        <v>1895</v>
      </c>
      <c r="P184" s="174" t="s">
        <v>1895</v>
      </c>
      <c r="Q184" s="174" t="s">
        <v>1899</v>
      </c>
      <c r="R184" s="174" t="s">
        <v>1895</v>
      </c>
      <c r="S184" s="174" t="s">
        <v>1899</v>
      </c>
      <c r="T184" s="174" t="s">
        <v>1899</v>
      </c>
      <c r="U184" s="174" t="s">
        <v>1899</v>
      </c>
      <c r="V184" s="174" t="s">
        <v>1895</v>
      </c>
      <c r="W184" s="174" t="s">
        <v>1895</v>
      </c>
      <c r="X184" s="174" t="s">
        <v>1895</v>
      </c>
      <c r="Y184" s="174" t="s">
        <v>1895</v>
      </c>
      <c r="AA184" s="174" t="s">
        <v>1895</v>
      </c>
      <c r="AB184" s="174" t="s">
        <v>1895</v>
      </c>
      <c r="AC184" s="174" t="s">
        <v>1895</v>
      </c>
      <c r="AD184" s="174" t="s">
        <v>1895</v>
      </c>
      <c r="AF184" s="174" t="s">
        <v>1899</v>
      </c>
      <c r="AG184" s="174" t="s">
        <v>1895</v>
      </c>
      <c r="AH184" s="174" t="s">
        <v>1895</v>
      </c>
      <c r="AJ184" s="174" t="s">
        <v>1895</v>
      </c>
      <c r="AK184" s="174" t="s">
        <v>1895</v>
      </c>
      <c r="AL184" s="174" t="s">
        <v>1895</v>
      </c>
      <c r="AM184" s="174" t="s">
        <v>1899</v>
      </c>
      <c r="AO184" s="174" t="s">
        <v>1899</v>
      </c>
      <c r="AP184" s="174" t="s">
        <v>1899</v>
      </c>
      <c r="AQ184" s="174" t="s">
        <v>1899</v>
      </c>
      <c r="CS184" s="174" t="s">
        <v>1895</v>
      </c>
      <c r="CT184" s="174" t="s">
        <v>1895</v>
      </c>
      <c r="CU184" s="174" t="s">
        <v>1895</v>
      </c>
      <c r="CV184" s="174" t="s">
        <v>1895</v>
      </c>
      <c r="DF184" s="174">
        <v>9</v>
      </c>
      <c r="EX184" s="174" t="s">
        <v>1832</v>
      </c>
      <c r="HB184" s="197">
        <v>181</v>
      </c>
      <c r="HC184" s="194">
        <v>111</v>
      </c>
      <c r="HD184" s="238">
        <v>135.5</v>
      </c>
      <c r="HE184" s="236">
        <v>25</v>
      </c>
      <c r="HF184" s="183">
        <v>246</v>
      </c>
      <c r="HG184" s="193" t="e">
        <f t="shared" si="20"/>
        <v>#N/A</v>
      </c>
      <c r="HH184" s="192" t="e">
        <f t="shared" si="21"/>
        <v>#N/A</v>
      </c>
      <c r="HI184" s="198">
        <v>25</v>
      </c>
      <c r="HJ184" s="185">
        <v>180.5</v>
      </c>
      <c r="HK184" s="174">
        <v>182</v>
      </c>
      <c r="HL184" s="174">
        <v>676</v>
      </c>
      <c r="HM184" s="174">
        <v>788</v>
      </c>
      <c r="HN184" s="174">
        <v>616</v>
      </c>
      <c r="HO184" s="174">
        <v>302</v>
      </c>
      <c r="HP184" s="174">
        <v>292</v>
      </c>
      <c r="HQ184" s="174">
        <v>282</v>
      </c>
      <c r="HR184" s="174">
        <v>272</v>
      </c>
      <c r="HS184" s="174">
        <v>616</v>
      </c>
      <c r="HT184" s="174">
        <v>606</v>
      </c>
      <c r="HU184" s="174">
        <v>282</v>
      </c>
      <c r="HV184" s="174">
        <v>434</v>
      </c>
      <c r="HW184" s="174">
        <v>272</v>
      </c>
      <c r="HX184" s="174">
        <v>262</v>
      </c>
      <c r="HY184" s="174">
        <v>252</v>
      </c>
      <c r="HZ184" s="174">
        <v>242</v>
      </c>
      <c r="IA184" s="174">
        <v>424</v>
      </c>
      <c r="IB184" s="174">
        <v>404</v>
      </c>
      <c r="IC184" s="174">
        <v>242</v>
      </c>
      <c r="ID184" s="174">
        <v>212</v>
      </c>
      <c r="IE184" s="174">
        <v>192</v>
      </c>
      <c r="IF184" s="174">
        <v>184</v>
      </c>
    </row>
    <row r="185" spans="1:240" ht="13.35" customHeight="1" thickBot="1" x14ac:dyDescent="0.25">
      <c r="A185" s="174">
        <v>39</v>
      </c>
      <c r="B185" s="174">
        <f t="shared" si="27"/>
        <v>72</v>
      </c>
      <c r="D185" s="174" t="s">
        <v>1888</v>
      </c>
      <c r="E185" s="174" t="s">
        <v>357</v>
      </c>
      <c r="F185" s="174" t="s">
        <v>1899</v>
      </c>
      <c r="G185" s="174" t="s">
        <v>1899</v>
      </c>
      <c r="H185" s="174" t="s">
        <v>1899</v>
      </c>
      <c r="I185" s="174" t="s">
        <v>1899</v>
      </c>
      <c r="J185" s="174" t="s">
        <v>1899</v>
      </c>
      <c r="K185" s="174" t="s">
        <v>1899</v>
      </c>
      <c r="L185" s="174" t="s">
        <v>1899</v>
      </c>
      <c r="M185" s="174" t="s">
        <v>1893</v>
      </c>
      <c r="N185" s="174" t="s">
        <v>1893</v>
      </c>
      <c r="O185" s="174" t="s">
        <v>1899</v>
      </c>
      <c r="P185" s="174" t="s">
        <v>1899</v>
      </c>
      <c r="Q185" s="174" t="s">
        <v>1893</v>
      </c>
      <c r="R185" s="174" t="s">
        <v>1899</v>
      </c>
      <c r="S185" s="174" t="s">
        <v>1893</v>
      </c>
      <c r="T185" s="174" t="s">
        <v>1893</v>
      </c>
      <c r="U185" s="174" t="s">
        <v>1893</v>
      </c>
      <c r="V185" s="174" t="s">
        <v>1899</v>
      </c>
      <c r="W185" s="174" t="s">
        <v>1899</v>
      </c>
      <c r="X185" s="174" t="s">
        <v>1899</v>
      </c>
      <c r="Y185" s="174" t="s">
        <v>1899</v>
      </c>
      <c r="AA185" s="174" t="s">
        <v>1899</v>
      </c>
      <c r="AB185" s="174" t="s">
        <v>1899</v>
      </c>
      <c r="AC185" s="174" t="s">
        <v>1899</v>
      </c>
      <c r="AD185" s="174" t="s">
        <v>1899</v>
      </c>
      <c r="AF185" s="174" t="s">
        <v>1893</v>
      </c>
      <c r="AG185" s="174" t="s">
        <v>1899</v>
      </c>
      <c r="AH185" s="174" t="s">
        <v>1899</v>
      </c>
      <c r="AJ185" s="174" t="s">
        <v>1899</v>
      </c>
      <c r="AK185" s="174" t="s">
        <v>1899</v>
      </c>
      <c r="AL185" s="174" t="s">
        <v>1899</v>
      </c>
      <c r="AM185" s="174" t="s">
        <v>1893</v>
      </c>
      <c r="AO185" s="174" t="s">
        <v>1893</v>
      </c>
      <c r="AP185" s="174" t="s">
        <v>1893</v>
      </c>
      <c r="AQ185" s="174" t="s">
        <v>1893</v>
      </c>
      <c r="CS185" s="174" t="s">
        <v>1899</v>
      </c>
      <c r="CT185" s="174" t="s">
        <v>1899</v>
      </c>
      <c r="CU185" s="174" t="s">
        <v>1899</v>
      </c>
      <c r="CV185" s="174" t="s">
        <v>1899</v>
      </c>
      <c r="DF185" s="174">
        <v>10</v>
      </c>
      <c r="EX185" s="174" t="s">
        <v>1879</v>
      </c>
      <c r="HB185" s="197">
        <v>182</v>
      </c>
      <c r="HC185" s="194">
        <v>111</v>
      </c>
      <c r="HD185" s="238">
        <v>136</v>
      </c>
      <c r="HE185" s="236">
        <v>25</v>
      </c>
      <c r="HF185" s="183">
        <v>247</v>
      </c>
      <c r="HG185" s="193" t="e">
        <f t="shared" si="20"/>
        <v>#N/A</v>
      </c>
      <c r="HH185" s="192" t="e">
        <f t="shared" si="21"/>
        <v>#N/A</v>
      </c>
      <c r="HI185" s="198">
        <v>25</v>
      </c>
      <c r="HJ185" s="185">
        <v>181</v>
      </c>
      <c r="HK185" s="174">
        <v>183</v>
      </c>
      <c r="HL185" s="174">
        <v>679</v>
      </c>
      <c r="HM185" s="174">
        <v>792</v>
      </c>
      <c r="HN185" s="174">
        <v>619</v>
      </c>
      <c r="HO185" s="174">
        <v>303</v>
      </c>
      <c r="HP185" s="174">
        <v>293</v>
      </c>
      <c r="HQ185" s="174">
        <v>283</v>
      </c>
      <c r="HR185" s="174">
        <v>273</v>
      </c>
      <c r="HS185" s="174">
        <v>619</v>
      </c>
      <c r="HT185" s="174">
        <v>609</v>
      </c>
      <c r="HU185" s="174">
        <v>283</v>
      </c>
      <c r="HV185" s="174">
        <v>436</v>
      </c>
      <c r="HW185" s="174">
        <v>273</v>
      </c>
      <c r="HX185" s="174">
        <v>263</v>
      </c>
      <c r="HY185" s="174">
        <v>253</v>
      </c>
      <c r="HZ185" s="174">
        <v>243</v>
      </c>
      <c r="IA185" s="174">
        <v>426</v>
      </c>
      <c r="IB185" s="174">
        <v>406</v>
      </c>
      <c r="IC185" s="174">
        <v>243</v>
      </c>
      <c r="ID185" s="174">
        <v>213</v>
      </c>
      <c r="IE185" s="174">
        <v>193</v>
      </c>
      <c r="IF185" s="174">
        <v>185</v>
      </c>
    </row>
    <row r="186" spans="1:240" ht="13.35" customHeight="1" thickBot="1" x14ac:dyDescent="0.25">
      <c r="A186" s="174">
        <v>40</v>
      </c>
      <c r="B186" s="174">
        <f t="shared" si="27"/>
        <v>73</v>
      </c>
      <c r="D186" s="174" t="s">
        <v>1890</v>
      </c>
      <c r="E186" s="174" t="s">
        <v>1917</v>
      </c>
      <c r="F186" s="174" t="s">
        <v>1893</v>
      </c>
      <c r="G186" s="174" t="s">
        <v>1893</v>
      </c>
      <c r="H186" s="174" t="s">
        <v>1893</v>
      </c>
      <c r="I186" s="174" t="s">
        <v>1893</v>
      </c>
      <c r="J186" s="174" t="s">
        <v>1893</v>
      </c>
      <c r="K186" s="174" t="s">
        <v>1893</v>
      </c>
      <c r="L186" s="174" t="s">
        <v>1893</v>
      </c>
      <c r="M186" s="174" t="s">
        <v>1894</v>
      </c>
      <c r="N186" s="174" t="s">
        <v>1894</v>
      </c>
      <c r="O186" s="174" t="s">
        <v>1893</v>
      </c>
      <c r="P186" s="174" t="s">
        <v>1893</v>
      </c>
      <c r="Q186" s="174" t="s">
        <v>1894</v>
      </c>
      <c r="R186" s="174" t="s">
        <v>1893</v>
      </c>
      <c r="S186" s="174" t="s">
        <v>1894</v>
      </c>
      <c r="T186" s="174" t="s">
        <v>1894</v>
      </c>
      <c r="U186" s="174" t="s">
        <v>1894</v>
      </c>
      <c r="V186" s="174" t="s">
        <v>1893</v>
      </c>
      <c r="W186" s="174" t="s">
        <v>1893</v>
      </c>
      <c r="X186" s="174" t="s">
        <v>1893</v>
      </c>
      <c r="Y186" s="174" t="s">
        <v>1893</v>
      </c>
      <c r="AA186" s="174" t="s">
        <v>1893</v>
      </c>
      <c r="AB186" s="174" t="s">
        <v>1893</v>
      </c>
      <c r="AC186" s="174" t="s">
        <v>1893</v>
      </c>
      <c r="AD186" s="174" t="s">
        <v>1893</v>
      </c>
      <c r="AF186" s="174" t="s">
        <v>1894</v>
      </c>
      <c r="AG186" s="174" t="s">
        <v>1893</v>
      </c>
      <c r="AH186" s="174" t="s">
        <v>1893</v>
      </c>
      <c r="AJ186" s="174" t="s">
        <v>1893</v>
      </c>
      <c r="AK186" s="174" t="s">
        <v>1893</v>
      </c>
      <c r="AL186" s="174" t="s">
        <v>1893</v>
      </c>
      <c r="AM186" s="174" t="s">
        <v>1894</v>
      </c>
      <c r="AO186" s="174" t="s">
        <v>1894</v>
      </c>
      <c r="AP186" s="174" t="s">
        <v>1894</v>
      </c>
      <c r="AQ186" s="174" t="s">
        <v>1894</v>
      </c>
      <c r="CS186" s="174" t="s">
        <v>1893</v>
      </c>
      <c r="CT186" s="174" t="s">
        <v>1893</v>
      </c>
      <c r="CU186" s="174" t="s">
        <v>1893</v>
      </c>
      <c r="CV186" s="174" t="s">
        <v>1893</v>
      </c>
      <c r="DF186" s="174">
        <v>11</v>
      </c>
      <c r="EX186" s="174" t="s">
        <v>1840</v>
      </c>
      <c r="HB186" s="197">
        <v>183</v>
      </c>
      <c r="HC186" s="194">
        <v>112</v>
      </c>
      <c r="HD186" s="238">
        <v>136.5</v>
      </c>
      <c r="HE186" s="236">
        <v>25</v>
      </c>
      <c r="HF186" s="183">
        <v>248</v>
      </c>
      <c r="HG186" s="193" t="e">
        <f t="shared" si="20"/>
        <v>#N/A</v>
      </c>
      <c r="HH186" s="192" t="e">
        <f t="shared" si="21"/>
        <v>#N/A</v>
      </c>
      <c r="HI186" s="198">
        <v>25</v>
      </c>
      <c r="HJ186" s="185">
        <v>181.5</v>
      </c>
      <c r="HK186" s="174">
        <v>184</v>
      </c>
      <c r="HL186" s="174">
        <v>682</v>
      </c>
      <c r="HM186" s="174">
        <v>796</v>
      </c>
      <c r="HN186" s="174">
        <v>622</v>
      </c>
      <c r="HO186" s="174">
        <v>304</v>
      </c>
      <c r="HP186" s="174">
        <v>294</v>
      </c>
      <c r="HQ186" s="174">
        <v>284</v>
      </c>
      <c r="HR186" s="174">
        <v>274</v>
      </c>
      <c r="HS186" s="174">
        <v>622</v>
      </c>
      <c r="HT186" s="174">
        <v>612</v>
      </c>
      <c r="HU186" s="174">
        <v>284</v>
      </c>
      <c r="HV186" s="174">
        <v>438</v>
      </c>
      <c r="HW186" s="174">
        <v>274</v>
      </c>
      <c r="HX186" s="174">
        <v>264</v>
      </c>
      <c r="HY186" s="174">
        <v>254</v>
      </c>
      <c r="HZ186" s="174">
        <v>244</v>
      </c>
      <c r="IA186" s="174">
        <v>428</v>
      </c>
      <c r="IB186" s="174">
        <v>408</v>
      </c>
      <c r="IC186" s="174">
        <v>244</v>
      </c>
      <c r="ID186" s="174">
        <v>214</v>
      </c>
      <c r="IE186" s="174">
        <v>194</v>
      </c>
      <c r="IF186" s="174">
        <v>186</v>
      </c>
    </row>
    <row r="187" spans="1:240" ht="13.35" customHeight="1" thickBot="1" x14ac:dyDescent="0.25">
      <c r="A187" s="174">
        <v>41</v>
      </c>
      <c r="B187" s="174">
        <f t="shared" si="27"/>
        <v>74</v>
      </c>
      <c r="D187" s="174" t="s">
        <v>1891</v>
      </c>
      <c r="E187" s="174" t="s">
        <v>1918</v>
      </c>
      <c r="F187" s="174" t="s">
        <v>1894</v>
      </c>
      <c r="G187" s="174" t="s">
        <v>1894</v>
      </c>
      <c r="H187" s="174" t="s">
        <v>1894</v>
      </c>
      <c r="I187" s="174" t="s">
        <v>1894</v>
      </c>
      <c r="J187" s="174" t="s">
        <v>1894</v>
      </c>
      <c r="K187" s="174" t="s">
        <v>1894</v>
      </c>
      <c r="L187" s="174" t="s">
        <v>1894</v>
      </c>
      <c r="M187" s="174" t="s">
        <v>172</v>
      </c>
      <c r="N187" s="174" t="s">
        <v>172</v>
      </c>
      <c r="O187" s="174" t="s">
        <v>1894</v>
      </c>
      <c r="P187" s="174" t="s">
        <v>1894</v>
      </c>
      <c r="Q187" s="174" t="s">
        <v>172</v>
      </c>
      <c r="R187" s="174" t="s">
        <v>1894</v>
      </c>
      <c r="S187" s="174" t="s">
        <v>172</v>
      </c>
      <c r="T187" s="174" t="s">
        <v>172</v>
      </c>
      <c r="U187" s="174" t="s">
        <v>172</v>
      </c>
      <c r="V187" s="174" t="s">
        <v>1894</v>
      </c>
      <c r="W187" s="174" t="s">
        <v>1894</v>
      </c>
      <c r="X187" s="174" t="s">
        <v>1894</v>
      </c>
      <c r="Y187" s="174" t="s">
        <v>1894</v>
      </c>
      <c r="AA187" s="174" t="s">
        <v>1894</v>
      </c>
      <c r="AB187" s="174" t="s">
        <v>1894</v>
      </c>
      <c r="AC187" s="174" t="s">
        <v>1894</v>
      </c>
      <c r="AD187" s="174" t="s">
        <v>1894</v>
      </c>
      <c r="AF187" s="174" t="s">
        <v>172</v>
      </c>
      <c r="AG187" s="174" t="s">
        <v>1894</v>
      </c>
      <c r="AH187" s="174" t="s">
        <v>1894</v>
      </c>
      <c r="AJ187" s="174" t="s">
        <v>1894</v>
      </c>
      <c r="AK187" s="174" t="s">
        <v>1894</v>
      </c>
      <c r="AL187" s="174" t="s">
        <v>1894</v>
      </c>
      <c r="AM187" s="174" t="s">
        <v>172</v>
      </c>
      <c r="AO187" s="174" t="s">
        <v>172</v>
      </c>
      <c r="AP187" s="174" t="s">
        <v>172</v>
      </c>
      <c r="AQ187" s="174" t="s">
        <v>172</v>
      </c>
      <c r="CS187" s="174" t="s">
        <v>1894</v>
      </c>
      <c r="CT187" s="174" t="s">
        <v>1894</v>
      </c>
      <c r="CU187" s="174" t="s">
        <v>1894</v>
      </c>
      <c r="CV187" s="174" t="s">
        <v>1894</v>
      </c>
      <c r="DF187" s="174">
        <v>12</v>
      </c>
      <c r="EX187" s="174" t="s">
        <v>743</v>
      </c>
      <c r="HB187" s="197">
        <v>184</v>
      </c>
      <c r="HC187" s="194">
        <v>112</v>
      </c>
      <c r="HD187" s="238">
        <v>137</v>
      </c>
      <c r="HE187" s="236">
        <v>25</v>
      </c>
      <c r="HF187" s="183">
        <v>249</v>
      </c>
      <c r="HG187" s="193" t="e">
        <f t="shared" si="20"/>
        <v>#N/A</v>
      </c>
      <c r="HH187" s="192" t="e">
        <f t="shared" si="21"/>
        <v>#N/A</v>
      </c>
      <c r="HI187" s="198">
        <v>25</v>
      </c>
      <c r="HJ187" s="185">
        <v>182</v>
      </c>
      <c r="HK187" s="174">
        <v>185</v>
      </c>
      <c r="HL187" s="174">
        <v>685</v>
      </c>
      <c r="HM187" s="174">
        <v>800</v>
      </c>
      <c r="HN187" s="174">
        <v>625</v>
      </c>
      <c r="HO187" s="174">
        <v>305</v>
      </c>
      <c r="HP187" s="174">
        <v>295</v>
      </c>
      <c r="HQ187" s="174">
        <v>285</v>
      </c>
      <c r="HR187" s="174">
        <v>275</v>
      </c>
      <c r="HS187" s="174">
        <v>625</v>
      </c>
      <c r="HT187" s="174">
        <v>615</v>
      </c>
      <c r="HU187" s="174">
        <v>285</v>
      </c>
      <c r="HV187" s="174">
        <v>440</v>
      </c>
      <c r="HW187" s="174">
        <v>275</v>
      </c>
      <c r="HX187" s="174">
        <v>265</v>
      </c>
      <c r="HY187" s="174">
        <v>255</v>
      </c>
      <c r="HZ187" s="174">
        <v>245</v>
      </c>
      <c r="IA187" s="174">
        <v>430</v>
      </c>
      <c r="IB187" s="174">
        <v>410</v>
      </c>
      <c r="IC187" s="174">
        <v>245</v>
      </c>
      <c r="ID187" s="174">
        <v>215</v>
      </c>
      <c r="IE187" s="174">
        <v>195</v>
      </c>
      <c r="IF187" s="174">
        <v>187</v>
      </c>
    </row>
    <row r="188" spans="1:240" ht="13.35" customHeight="1" thickBot="1" x14ac:dyDescent="0.25">
      <c r="A188" s="174">
        <v>42</v>
      </c>
      <c r="B188" s="174">
        <f t="shared" si="27"/>
        <v>75</v>
      </c>
      <c r="D188" s="174" t="s">
        <v>172</v>
      </c>
      <c r="E188" s="174" t="s">
        <v>1919</v>
      </c>
      <c r="F188" s="174" t="s">
        <v>172</v>
      </c>
      <c r="G188" s="174" t="s">
        <v>172</v>
      </c>
      <c r="H188" s="174" t="s">
        <v>172</v>
      </c>
      <c r="I188" s="174" t="s">
        <v>172</v>
      </c>
      <c r="J188" s="174" t="s">
        <v>172</v>
      </c>
      <c r="K188" s="174" t="s">
        <v>172</v>
      </c>
      <c r="L188" s="174" t="s">
        <v>172</v>
      </c>
      <c r="M188" s="174" t="s">
        <v>1905</v>
      </c>
      <c r="N188" s="174" t="s">
        <v>1905</v>
      </c>
      <c r="O188" s="174" t="s">
        <v>172</v>
      </c>
      <c r="P188" s="174" t="s">
        <v>172</v>
      </c>
      <c r="Q188" s="174" t="s">
        <v>1905</v>
      </c>
      <c r="R188" s="174" t="s">
        <v>172</v>
      </c>
      <c r="S188" s="174" t="s">
        <v>1905</v>
      </c>
      <c r="T188" s="174" t="s">
        <v>1905</v>
      </c>
      <c r="U188" s="174" t="s">
        <v>1905</v>
      </c>
      <c r="V188" s="174" t="s">
        <v>172</v>
      </c>
      <c r="W188" s="174" t="s">
        <v>172</v>
      </c>
      <c r="X188" s="174" t="s">
        <v>172</v>
      </c>
      <c r="Y188" s="174" t="s">
        <v>172</v>
      </c>
      <c r="AA188" s="174" t="s">
        <v>172</v>
      </c>
      <c r="AB188" s="174" t="s">
        <v>172</v>
      </c>
      <c r="AC188" s="174" t="s">
        <v>172</v>
      </c>
      <c r="AD188" s="174" t="s">
        <v>172</v>
      </c>
      <c r="AF188" s="174" t="s">
        <v>1905</v>
      </c>
      <c r="AG188" s="174" t="s">
        <v>172</v>
      </c>
      <c r="AH188" s="174" t="s">
        <v>172</v>
      </c>
      <c r="AJ188" s="174" t="s">
        <v>172</v>
      </c>
      <c r="AK188" s="174" t="s">
        <v>172</v>
      </c>
      <c r="AL188" s="174" t="s">
        <v>172</v>
      </c>
      <c r="AM188" s="174" t="s">
        <v>1905</v>
      </c>
      <c r="AO188" s="174" t="s">
        <v>1905</v>
      </c>
      <c r="AP188" s="174" t="s">
        <v>1905</v>
      </c>
      <c r="AQ188" s="174" t="s">
        <v>1905</v>
      </c>
      <c r="CS188" s="174" t="s">
        <v>172</v>
      </c>
      <c r="CT188" s="174" t="s">
        <v>172</v>
      </c>
      <c r="CU188" s="174" t="s">
        <v>172</v>
      </c>
      <c r="CV188" s="174" t="s">
        <v>172</v>
      </c>
      <c r="DF188" s="174">
        <v>13</v>
      </c>
      <c r="EX188" s="174" t="s">
        <v>1869</v>
      </c>
      <c r="HB188" s="197">
        <v>185</v>
      </c>
      <c r="HC188" s="194">
        <v>113</v>
      </c>
      <c r="HD188" s="238">
        <v>137.5</v>
      </c>
      <c r="HE188" s="236">
        <v>25</v>
      </c>
      <c r="HF188" s="183">
        <v>250</v>
      </c>
      <c r="HG188" s="193" t="e">
        <f t="shared" si="20"/>
        <v>#N/A</v>
      </c>
      <c r="HH188" s="192" t="e">
        <f t="shared" si="21"/>
        <v>#N/A</v>
      </c>
      <c r="HI188" s="198">
        <v>25</v>
      </c>
      <c r="HJ188" s="185">
        <v>182.5</v>
      </c>
      <c r="HK188" s="174">
        <v>186</v>
      </c>
      <c r="HL188" s="174">
        <v>688</v>
      </c>
      <c r="HM188" s="174">
        <v>804</v>
      </c>
      <c r="HN188" s="174">
        <v>628</v>
      </c>
      <c r="HO188" s="174">
        <v>306</v>
      </c>
      <c r="HP188" s="174">
        <v>296</v>
      </c>
      <c r="HQ188" s="174">
        <v>286</v>
      </c>
      <c r="HR188" s="174">
        <v>276</v>
      </c>
      <c r="HS188" s="174">
        <v>628</v>
      </c>
      <c r="HT188" s="174">
        <v>618</v>
      </c>
      <c r="HU188" s="174">
        <v>286</v>
      </c>
      <c r="HV188" s="174">
        <v>442</v>
      </c>
      <c r="HW188" s="174">
        <v>276</v>
      </c>
      <c r="HX188" s="174">
        <v>266</v>
      </c>
      <c r="HY188" s="174">
        <v>256</v>
      </c>
      <c r="HZ188" s="174">
        <v>246</v>
      </c>
      <c r="IA188" s="174">
        <v>432</v>
      </c>
      <c r="IB188" s="174">
        <v>412</v>
      </c>
      <c r="IC188" s="174">
        <v>246</v>
      </c>
      <c r="ID188" s="174">
        <v>216</v>
      </c>
      <c r="IE188" s="174">
        <v>196</v>
      </c>
      <c r="IF188" s="174">
        <v>188</v>
      </c>
    </row>
    <row r="189" spans="1:240" ht="13.35" customHeight="1" thickBot="1" x14ac:dyDescent="0.25">
      <c r="A189" s="174">
        <v>43</v>
      </c>
      <c r="B189" s="174">
        <f t="shared" si="27"/>
        <v>76</v>
      </c>
      <c r="D189" s="174" t="s">
        <v>1895</v>
      </c>
      <c r="E189" s="174" t="s">
        <v>1920</v>
      </c>
      <c r="F189" s="174" t="s">
        <v>1905</v>
      </c>
      <c r="G189" s="174" t="s">
        <v>1905</v>
      </c>
      <c r="H189" s="174" t="s">
        <v>1905</v>
      </c>
      <c r="I189" s="174" t="s">
        <v>1905</v>
      </c>
      <c r="J189" s="174" t="s">
        <v>1905</v>
      </c>
      <c r="K189" s="174" t="s">
        <v>1905</v>
      </c>
      <c r="L189" s="174" t="s">
        <v>1905</v>
      </c>
      <c r="M189" s="174" t="s">
        <v>1888</v>
      </c>
      <c r="N189" s="174" t="s">
        <v>1888</v>
      </c>
      <c r="O189" s="174" t="s">
        <v>1905</v>
      </c>
      <c r="P189" s="174" t="s">
        <v>1905</v>
      </c>
      <c r="Q189" s="174" t="s">
        <v>1888</v>
      </c>
      <c r="R189" s="174" t="s">
        <v>1905</v>
      </c>
      <c r="S189" s="174" t="s">
        <v>1888</v>
      </c>
      <c r="T189" s="174" t="s">
        <v>1888</v>
      </c>
      <c r="U189" s="174" t="s">
        <v>1888</v>
      </c>
      <c r="V189" s="174" t="s">
        <v>1905</v>
      </c>
      <c r="W189" s="174" t="s">
        <v>1905</v>
      </c>
      <c r="X189" s="174" t="s">
        <v>1905</v>
      </c>
      <c r="Y189" s="174" t="s">
        <v>1905</v>
      </c>
      <c r="AA189" s="174" t="s">
        <v>1905</v>
      </c>
      <c r="AB189" s="174" t="s">
        <v>1905</v>
      </c>
      <c r="AC189" s="174" t="s">
        <v>1905</v>
      </c>
      <c r="AD189" s="174" t="s">
        <v>1905</v>
      </c>
      <c r="AF189" s="174" t="s">
        <v>1888</v>
      </c>
      <c r="AG189" s="174" t="s">
        <v>1905</v>
      </c>
      <c r="AH189" s="174" t="s">
        <v>1905</v>
      </c>
      <c r="AJ189" s="174" t="s">
        <v>1905</v>
      </c>
      <c r="AK189" s="174" t="s">
        <v>1905</v>
      </c>
      <c r="AL189" s="174" t="s">
        <v>1905</v>
      </c>
      <c r="AM189" s="174" t="s">
        <v>1888</v>
      </c>
      <c r="AO189" s="174" t="s">
        <v>1888</v>
      </c>
      <c r="AP189" s="174" t="s">
        <v>1888</v>
      </c>
      <c r="AQ189" s="174" t="s">
        <v>1888</v>
      </c>
      <c r="CS189" s="174" t="s">
        <v>1905</v>
      </c>
      <c r="CT189" s="174" t="s">
        <v>1905</v>
      </c>
      <c r="CU189" s="174" t="s">
        <v>1905</v>
      </c>
      <c r="CV189" s="174" t="s">
        <v>1905</v>
      </c>
      <c r="DF189" s="174">
        <v>14</v>
      </c>
      <c r="HB189" s="197">
        <v>186</v>
      </c>
      <c r="HC189" s="194">
        <v>113</v>
      </c>
      <c r="HD189" s="238">
        <v>138</v>
      </c>
      <c r="HE189" s="236">
        <v>25</v>
      </c>
      <c r="HF189" s="183">
        <v>251</v>
      </c>
      <c r="HG189" s="193" t="e">
        <f t="shared" si="20"/>
        <v>#N/A</v>
      </c>
      <c r="HH189" s="192" t="e">
        <f t="shared" si="21"/>
        <v>#N/A</v>
      </c>
      <c r="HI189" s="198">
        <v>25</v>
      </c>
      <c r="HJ189" s="185">
        <v>183</v>
      </c>
      <c r="HK189" s="174">
        <v>187</v>
      </c>
      <c r="HL189" s="174">
        <v>691</v>
      </c>
      <c r="HM189" s="174">
        <v>808</v>
      </c>
      <c r="HN189" s="174">
        <v>631</v>
      </c>
      <c r="HO189" s="174">
        <v>307</v>
      </c>
      <c r="HP189" s="174">
        <v>297</v>
      </c>
      <c r="HQ189" s="174">
        <v>287</v>
      </c>
      <c r="HR189" s="174">
        <v>277</v>
      </c>
      <c r="HS189" s="174">
        <v>631</v>
      </c>
      <c r="HT189" s="174">
        <v>621</v>
      </c>
      <c r="HU189" s="174">
        <v>287</v>
      </c>
      <c r="HV189" s="174">
        <v>444</v>
      </c>
      <c r="HW189" s="174">
        <v>277</v>
      </c>
      <c r="HX189" s="174">
        <v>267</v>
      </c>
      <c r="HY189" s="174">
        <v>257</v>
      </c>
      <c r="HZ189" s="174">
        <v>247</v>
      </c>
      <c r="IA189" s="174">
        <v>434</v>
      </c>
      <c r="IB189" s="174">
        <v>414</v>
      </c>
      <c r="IC189" s="174">
        <v>247</v>
      </c>
      <c r="ID189" s="174">
        <v>217</v>
      </c>
      <c r="IE189" s="174">
        <v>197</v>
      </c>
      <c r="IF189" s="174">
        <v>189</v>
      </c>
    </row>
    <row r="190" spans="1:240" ht="13.35" customHeight="1" thickBot="1" x14ac:dyDescent="0.25">
      <c r="A190" s="174">
        <v>44</v>
      </c>
      <c r="B190" s="174">
        <f t="shared" si="27"/>
        <v>77</v>
      </c>
      <c r="D190" s="174" t="s">
        <v>1897</v>
      </c>
      <c r="E190" s="174" t="s">
        <v>1921</v>
      </c>
      <c r="F190" s="174" t="s">
        <v>1888</v>
      </c>
      <c r="G190" s="174" t="s">
        <v>1888</v>
      </c>
      <c r="H190" s="174" t="s">
        <v>1888</v>
      </c>
      <c r="I190" s="174" t="s">
        <v>1888</v>
      </c>
      <c r="J190" s="174" t="s">
        <v>1888</v>
      </c>
      <c r="K190" s="174" t="s">
        <v>1888</v>
      </c>
      <c r="L190" s="174" t="s">
        <v>1888</v>
      </c>
      <c r="M190" s="174" t="s">
        <v>1889</v>
      </c>
      <c r="N190" s="174" t="s">
        <v>1889</v>
      </c>
      <c r="O190" s="174" t="s">
        <v>1888</v>
      </c>
      <c r="P190" s="174" t="s">
        <v>1888</v>
      </c>
      <c r="Q190" s="174" t="s">
        <v>1889</v>
      </c>
      <c r="R190" s="174" t="s">
        <v>1888</v>
      </c>
      <c r="S190" s="174" t="s">
        <v>1889</v>
      </c>
      <c r="T190" s="174" t="s">
        <v>1889</v>
      </c>
      <c r="U190" s="174" t="s">
        <v>1889</v>
      </c>
      <c r="V190" s="174" t="s">
        <v>1888</v>
      </c>
      <c r="W190" s="174" t="s">
        <v>1888</v>
      </c>
      <c r="X190" s="174" t="s">
        <v>1888</v>
      </c>
      <c r="Y190" s="174" t="s">
        <v>1888</v>
      </c>
      <c r="AA190" s="174" t="s">
        <v>1888</v>
      </c>
      <c r="AB190" s="174" t="s">
        <v>1888</v>
      </c>
      <c r="AC190" s="174" t="s">
        <v>1888</v>
      </c>
      <c r="AD190" s="174" t="s">
        <v>1888</v>
      </c>
      <c r="AF190" s="174" t="s">
        <v>1889</v>
      </c>
      <c r="AG190" s="174" t="s">
        <v>1888</v>
      </c>
      <c r="AH190" s="174" t="s">
        <v>1888</v>
      </c>
      <c r="AJ190" s="174" t="s">
        <v>1888</v>
      </c>
      <c r="AK190" s="174" t="s">
        <v>1888</v>
      </c>
      <c r="AL190" s="174" t="s">
        <v>1888</v>
      </c>
      <c r="AM190" s="174" t="s">
        <v>1889</v>
      </c>
      <c r="AO190" s="174" t="s">
        <v>1889</v>
      </c>
      <c r="AP190" s="174" t="s">
        <v>1889</v>
      </c>
      <c r="AQ190" s="174" t="s">
        <v>1889</v>
      </c>
      <c r="CS190" s="174" t="s">
        <v>1888</v>
      </c>
      <c r="CT190" s="174" t="s">
        <v>1888</v>
      </c>
      <c r="CU190" s="174" t="s">
        <v>1888</v>
      </c>
      <c r="CV190" s="174" t="s">
        <v>1888</v>
      </c>
      <c r="DF190" s="174">
        <v>15</v>
      </c>
      <c r="HB190" s="197">
        <v>187</v>
      </c>
      <c r="HC190" s="194">
        <v>114</v>
      </c>
      <c r="HD190" s="238">
        <v>138.5</v>
      </c>
      <c r="HE190" s="236">
        <v>25</v>
      </c>
      <c r="HF190" s="183">
        <v>252</v>
      </c>
      <c r="HG190" s="193" t="e">
        <f t="shared" si="20"/>
        <v>#N/A</v>
      </c>
      <c r="HH190" s="192" t="e">
        <f t="shared" si="21"/>
        <v>#N/A</v>
      </c>
      <c r="HI190" s="198">
        <v>25</v>
      </c>
      <c r="HJ190" s="185">
        <v>183.5</v>
      </c>
      <c r="HK190" s="174">
        <v>188</v>
      </c>
      <c r="HL190" s="174">
        <v>694</v>
      </c>
      <c r="HM190" s="174">
        <v>812</v>
      </c>
      <c r="HN190" s="174">
        <v>634</v>
      </c>
      <c r="HO190" s="174">
        <v>308</v>
      </c>
      <c r="HP190" s="174">
        <v>298</v>
      </c>
      <c r="HQ190" s="174">
        <v>288</v>
      </c>
      <c r="HR190" s="174">
        <v>278</v>
      </c>
      <c r="HS190" s="174">
        <v>634</v>
      </c>
      <c r="HT190" s="174">
        <v>624</v>
      </c>
      <c r="HU190" s="174">
        <v>288</v>
      </c>
      <c r="HV190" s="174">
        <v>446</v>
      </c>
      <c r="HW190" s="174">
        <v>278</v>
      </c>
      <c r="HX190" s="174">
        <v>268</v>
      </c>
      <c r="HY190" s="174">
        <v>258</v>
      </c>
      <c r="HZ190" s="174">
        <v>248</v>
      </c>
      <c r="IA190" s="174">
        <v>436</v>
      </c>
      <c r="IB190" s="174">
        <v>416</v>
      </c>
      <c r="IC190" s="174">
        <v>248</v>
      </c>
      <c r="ID190" s="174">
        <v>218</v>
      </c>
      <c r="IE190" s="174">
        <v>198</v>
      </c>
      <c r="IF190" s="174">
        <v>190</v>
      </c>
    </row>
    <row r="191" spans="1:240" ht="13.35" customHeight="1" thickBot="1" x14ac:dyDescent="0.25">
      <c r="A191" s="174">
        <v>45</v>
      </c>
      <c r="B191" s="174">
        <f t="shared" ref="B191:B200" si="28">A191+28</f>
        <v>73</v>
      </c>
      <c r="D191" s="174" t="s">
        <v>1887</v>
      </c>
      <c r="E191" s="174" t="s">
        <v>1922</v>
      </c>
      <c r="F191" s="174" t="s">
        <v>1889</v>
      </c>
      <c r="G191" s="174" t="s">
        <v>1889</v>
      </c>
      <c r="H191" s="174" t="s">
        <v>1889</v>
      </c>
      <c r="I191" s="174" t="s">
        <v>1889</v>
      </c>
      <c r="J191" s="174" t="s">
        <v>1889</v>
      </c>
      <c r="K191" s="174" t="s">
        <v>1889</v>
      </c>
      <c r="L191" s="174" t="s">
        <v>1889</v>
      </c>
      <c r="M191" s="174" t="s">
        <v>1900</v>
      </c>
      <c r="N191" s="174" t="s">
        <v>1900</v>
      </c>
      <c r="O191" s="174" t="s">
        <v>1889</v>
      </c>
      <c r="P191" s="174" t="s">
        <v>1889</v>
      </c>
      <c r="Q191" s="174" t="s">
        <v>1900</v>
      </c>
      <c r="R191" s="174" t="s">
        <v>1889</v>
      </c>
      <c r="S191" s="174" t="s">
        <v>1900</v>
      </c>
      <c r="T191" s="174" t="s">
        <v>1900</v>
      </c>
      <c r="U191" s="174" t="s">
        <v>1900</v>
      </c>
      <c r="V191" s="174" t="s">
        <v>1889</v>
      </c>
      <c r="W191" s="174" t="s">
        <v>1889</v>
      </c>
      <c r="X191" s="174" t="s">
        <v>1889</v>
      </c>
      <c r="Y191" s="174" t="s">
        <v>1889</v>
      </c>
      <c r="AA191" s="174" t="s">
        <v>1889</v>
      </c>
      <c r="AB191" s="174" t="s">
        <v>1889</v>
      </c>
      <c r="AC191" s="174" t="s">
        <v>1889</v>
      </c>
      <c r="AD191" s="174" t="s">
        <v>1889</v>
      </c>
      <c r="AF191" s="174" t="s">
        <v>1900</v>
      </c>
      <c r="AG191" s="174" t="s">
        <v>1889</v>
      </c>
      <c r="AH191" s="174" t="s">
        <v>1889</v>
      </c>
      <c r="AJ191" s="174" t="s">
        <v>1889</v>
      </c>
      <c r="AK191" s="174" t="s">
        <v>1889</v>
      </c>
      <c r="AL191" s="174" t="s">
        <v>1889</v>
      </c>
      <c r="AM191" s="174" t="s">
        <v>1900</v>
      </c>
      <c r="AO191" s="174" t="s">
        <v>1900</v>
      </c>
      <c r="AP191" s="174" t="s">
        <v>1900</v>
      </c>
      <c r="AQ191" s="174" t="s">
        <v>1900</v>
      </c>
      <c r="CS191" s="174" t="s">
        <v>1889</v>
      </c>
      <c r="CT191" s="174" t="s">
        <v>1889</v>
      </c>
      <c r="CU191" s="174" t="s">
        <v>1889</v>
      </c>
      <c r="CV191" s="174" t="s">
        <v>1889</v>
      </c>
      <c r="DF191" s="174">
        <v>16</v>
      </c>
      <c r="EO191" s="202" t="s">
        <v>1115</v>
      </c>
      <c r="EP191" s="202" t="s">
        <v>1115</v>
      </c>
      <c r="EQ191" s="202" t="s">
        <v>1115</v>
      </c>
      <c r="ER191" s="202" t="s">
        <v>1115</v>
      </c>
      <c r="ES191" s="202" t="s">
        <v>1115</v>
      </c>
      <c r="ET191" s="202" t="s">
        <v>1115</v>
      </c>
      <c r="EU191" s="202" t="s">
        <v>1115</v>
      </c>
      <c r="EV191" s="202" t="s">
        <v>1115</v>
      </c>
      <c r="EW191" s="202" t="s">
        <v>1115</v>
      </c>
      <c r="EX191" s="202" t="s">
        <v>1115</v>
      </c>
      <c r="EY191" s="202" t="s">
        <v>1115</v>
      </c>
      <c r="EZ191" s="202" t="s">
        <v>1115</v>
      </c>
      <c r="FA191" s="202" t="s">
        <v>1115</v>
      </c>
      <c r="FB191" s="202" t="s">
        <v>1115</v>
      </c>
      <c r="FC191" s="202" t="s">
        <v>1115</v>
      </c>
      <c r="FD191" s="202" t="s">
        <v>1115</v>
      </c>
      <c r="FE191" s="202" t="s">
        <v>1115</v>
      </c>
      <c r="FF191" s="202" t="s">
        <v>1115</v>
      </c>
      <c r="FG191" s="202" t="s">
        <v>1115</v>
      </c>
      <c r="FH191" s="202" t="s">
        <v>1115</v>
      </c>
      <c r="FI191" s="202" t="s">
        <v>1115</v>
      </c>
      <c r="FJ191" s="202" t="s">
        <v>1115</v>
      </c>
      <c r="FK191" s="202" t="s">
        <v>1115</v>
      </c>
      <c r="FL191" s="202" t="s">
        <v>1115</v>
      </c>
      <c r="FM191" s="202" t="s">
        <v>1115</v>
      </c>
      <c r="FN191" s="202" t="s">
        <v>1115</v>
      </c>
      <c r="FO191" s="202" t="s">
        <v>1115</v>
      </c>
      <c r="FP191" s="202" t="s">
        <v>1115</v>
      </c>
      <c r="FQ191" s="202" t="s">
        <v>1115</v>
      </c>
      <c r="FR191" s="202" t="s">
        <v>1115</v>
      </c>
      <c r="FS191" s="202" t="s">
        <v>1115</v>
      </c>
      <c r="FT191" s="202" t="s">
        <v>1115</v>
      </c>
      <c r="FU191" s="202" t="s">
        <v>1115</v>
      </c>
      <c r="FV191" s="202" t="s">
        <v>1115</v>
      </c>
      <c r="FW191" s="202" t="s">
        <v>1115</v>
      </c>
      <c r="FX191" s="202" t="s">
        <v>1115</v>
      </c>
      <c r="FY191" s="202" t="s">
        <v>1115</v>
      </c>
      <c r="FZ191" s="202" t="s">
        <v>1115</v>
      </c>
      <c r="GA191" s="202" t="s">
        <v>1115</v>
      </c>
      <c r="GB191" s="202"/>
      <c r="GC191" s="202" t="s">
        <v>1115</v>
      </c>
      <c r="GD191" s="202"/>
      <c r="GE191" s="202"/>
      <c r="GF191" s="202"/>
      <c r="GG191" s="202"/>
      <c r="GH191" s="202" t="s">
        <v>1115</v>
      </c>
      <c r="GI191" s="202"/>
      <c r="GJ191" s="202" t="s">
        <v>1115</v>
      </c>
      <c r="GK191" s="202"/>
      <c r="GL191" s="202" t="s">
        <v>1115</v>
      </c>
      <c r="GM191" s="202" t="s">
        <v>1115</v>
      </c>
      <c r="GN191" s="202" t="s">
        <v>1115</v>
      </c>
      <c r="GO191" s="202" t="s">
        <v>1115</v>
      </c>
      <c r="GP191" s="202" t="s">
        <v>1115</v>
      </c>
      <c r="GQ191" s="202" t="s">
        <v>1115</v>
      </c>
      <c r="GR191" s="202" t="s">
        <v>1115</v>
      </c>
      <c r="GS191" s="202" t="s">
        <v>1115</v>
      </c>
      <c r="GT191" s="202" t="s">
        <v>1115</v>
      </c>
      <c r="GU191" s="202" t="s">
        <v>1115</v>
      </c>
      <c r="GV191" s="202" t="s">
        <v>1115</v>
      </c>
      <c r="GW191" s="202" t="s">
        <v>1115</v>
      </c>
      <c r="GX191" s="202" t="s">
        <v>1115</v>
      </c>
      <c r="GY191" s="202"/>
      <c r="GZ191" s="202"/>
      <c r="HB191" s="197">
        <v>188</v>
      </c>
      <c r="HC191" s="194">
        <v>114</v>
      </c>
      <c r="HD191" s="238">
        <v>139</v>
      </c>
      <c r="HE191" s="236">
        <v>25</v>
      </c>
      <c r="HF191" s="183">
        <v>253</v>
      </c>
      <c r="HG191" s="193" t="e">
        <f t="shared" si="20"/>
        <v>#N/A</v>
      </c>
      <c r="HH191" s="192" t="e">
        <f t="shared" si="21"/>
        <v>#N/A</v>
      </c>
      <c r="HI191" s="198">
        <v>25</v>
      </c>
      <c r="HJ191" s="185">
        <v>184</v>
      </c>
      <c r="HK191" s="174">
        <v>189</v>
      </c>
      <c r="HL191" s="174">
        <v>697</v>
      </c>
      <c r="HM191" s="174">
        <v>816</v>
      </c>
      <c r="HN191" s="174">
        <v>637</v>
      </c>
      <c r="HO191" s="174">
        <v>309</v>
      </c>
      <c r="HP191" s="174">
        <v>299</v>
      </c>
      <c r="HQ191" s="174">
        <v>289</v>
      </c>
      <c r="HR191" s="174">
        <v>279</v>
      </c>
      <c r="HS191" s="174">
        <v>637</v>
      </c>
      <c r="HT191" s="174">
        <v>627</v>
      </c>
      <c r="HU191" s="174">
        <v>289</v>
      </c>
      <c r="HV191" s="174">
        <v>448</v>
      </c>
      <c r="HW191" s="174">
        <v>279</v>
      </c>
      <c r="HX191" s="174">
        <v>269</v>
      </c>
      <c r="HY191" s="174">
        <v>259</v>
      </c>
      <c r="HZ191" s="174">
        <v>249</v>
      </c>
      <c r="IA191" s="174">
        <v>438</v>
      </c>
      <c r="IB191" s="174">
        <v>418</v>
      </c>
      <c r="IC191" s="174">
        <v>249</v>
      </c>
      <c r="ID191" s="174">
        <v>219</v>
      </c>
      <c r="IE191" s="174">
        <v>199</v>
      </c>
      <c r="IF191" s="174">
        <v>191</v>
      </c>
    </row>
    <row r="192" spans="1:240" ht="13.35" customHeight="1" thickBot="1" x14ac:dyDescent="0.25">
      <c r="A192" s="174">
        <v>46</v>
      </c>
      <c r="B192" s="174">
        <f t="shared" si="28"/>
        <v>74</v>
      </c>
      <c r="D192" s="174" t="s">
        <v>1893</v>
      </c>
      <c r="E192" s="174" t="s">
        <v>1923</v>
      </c>
      <c r="F192" s="174" t="s">
        <v>1900</v>
      </c>
      <c r="G192" s="174" t="s">
        <v>1900</v>
      </c>
      <c r="H192" s="174" t="s">
        <v>1900</v>
      </c>
      <c r="I192" s="174" t="s">
        <v>1900</v>
      </c>
      <c r="J192" s="174" t="s">
        <v>1900</v>
      </c>
      <c r="K192" s="174" t="s">
        <v>1900</v>
      </c>
      <c r="L192" s="174" t="s">
        <v>1900</v>
      </c>
      <c r="M192" s="174" t="s">
        <v>1891</v>
      </c>
      <c r="N192" s="174" t="s">
        <v>1891</v>
      </c>
      <c r="O192" s="174" t="s">
        <v>1900</v>
      </c>
      <c r="P192" s="174" t="s">
        <v>1900</v>
      </c>
      <c r="Q192" s="174" t="s">
        <v>1891</v>
      </c>
      <c r="R192" s="174" t="s">
        <v>1900</v>
      </c>
      <c r="S192" s="174" t="s">
        <v>1891</v>
      </c>
      <c r="T192" s="174" t="s">
        <v>1891</v>
      </c>
      <c r="U192" s="174" t="s">
        <v>1891</v>
      </c>
      <c r="V192" s="174" t="s">
        <v>1900</v>
      </c>
      <c r="W192" s="174" t="s">
        <v>1900</v>
      </c>
      <c r="X192" s="174" t="s">
        <v>1900</v>
      </c>
      <c r="Y192" s="174" t="s">
        <v>1900</v>
      </c>
      <c r="AA192" s="174" t="s">
        <v>1900</v>
      </c>
      <c r="AB192" s="174" t="s">
        <v>1900</v>
      </c>
      <c r="AC192" s="174" t="s">
        <v>1900</v>
      </c>
      <c r="AD192" s="174" t="s">
        <v>1900</v>
      </c>
      <c r="AF192" s="174" t="s">
        <v>1891</v>
      </c>
      <c r="AG192" s="174" t="s">
        <v>1900</v>
      </c>
      <c r="AH192" s="174" t="s">
        <v>1900</v>
      </c>
      <c r="AJ192" s="174" t="s">
        <v>1900</v>
      </c>
      <c r="AK192" s="174" t="s">
        <v>1900</v>
      </c>
      <c r="AL192" s="174" t="s">
        <v>1900</v>
      </c>
      <c r="AM192" s="174" t="s">
        <v>1891</v>
      </c>
      <c r="AO192" s="174" t="s">
        <v>1891</v>
      </c>
      <c r="AP192" s="174" t="s">
        <v>1891</v>
      </c>
      <c r="AQ192" s="174" t="s">
        <v>1891</v>
      </c>
      <c r="CS192" s="174" t="s">
        <v>1900</v>
      </c>
      <c r="CT192" s="174" t="s">
        <v>1900</v>
      </c>
      <c r="CU192" s="174" t="s">
        <v>1900</v>
      </c>
      <c r="CV192" s="174" t="s">
        <v>1900</v>
      </c>
      <c r="DF192" s="174">
        <v>17</v>
      </c>
      <c r="EN192" s="174" t="s">
        <v>1924</v>
      </c>
      <c r="EO192" s="185" t="s">
        <v>1043</v>
      </c>
      <c r="EP192" s="174" t="s">
        <v>1043</v>
      </c>
      <c r="EQ192" s="185" t="s">
        <v>892</v>
      </c>
      <c r="ER192" s="185" t="s">
        <v>892</v>
      </c>
      <c r="ES192" s="174" t="s">
        <v>893</v>
      </c>
      <c r="ET192" s="185" t="s">
        <v>893</v>
      </c>
      <c r="EU192" s="185" t="s">
        <v>893</v>
      </c>
      <c r="EV192" s="185" t="s">
        <v>893</v>
      </c>
      <c r="EW192" s="185" t="s">
        <v>893</v>
      </c>
      <c r="EX192" s="185" t="s">
        <v>894</v>
      </c>
      <c r="EY192" s="174" t="s">
        <v>893</v>
      </c>
      <c r="EZ192" s="174" t="s">
        <v>893</v>
      </c>
      <c r="FA192" s="174" t="s">
        <v>893</v>
      </c>
      <c r="FB192" s="185" t="s">
        <v>895</v>
      </c>
      <c r="FC192" s="185" t="s">
        <v>4171</v>
      </c>
      <c r="FD192" s="185" t="s">
        <v>4173</v>
      </c>
      <c r="FE192" s="185" t="s">
        <v>4172</v>
      </c>
      <c r="FF192" s="185" t="s">
        <v>899</v>
      </c>
      <c r="FG192" s="185" t="s">
        <v>900</v>
      </c>
      <c r="FH192" s="185" t="s">
        <v>901</v>
      </c>
      <c r="FI192" s="185" t="s">
        <v>900</v>
      </c>
      <c r="FJ192" s="185" t="s">
        <v>900</v>
      </c>
      <c r="FK192" s="185" t="s">
        <v>900</v>
      </c>
      <c r="FL192" s="185" t="s">
        <v>900</v>
      </c>
      <c r="FM192" s="185" t="s">
        <v>900</v>
      </c>
      <c r="FN192" s="185" t="s">
        <v>900</v>
      </c>
      <c r="FO192" s="185" t="s">
        <v>900</v>
      </c>
      <c r="FP192" s="174" t="s">
        <v>900</v>
      </c>
      <c r="FQ192" s="185" t="s">
        <v>1117</v>
      </c>
      <c r="FR192" s="185" t="s">
        <v>1118</v>
      </c>
      <c r="FS192" s="185" t="s">
        <v>1049</v>
      </c>
      <c r="FT192" s="185" t="s">
        <v>1049</v>
      </c>
      <c r="FU192" s="185" t="s">
        <v>1049</v>
      </c>
      <c r="FV192" s="185" t="s">
        <v>906</v>
      </c>
      <c r="FW192" s="185" t="s">
        <v>906</v>
      </c>
      <c r="FX192" s="185" t="s">
        <v>906</v>
      </c>
      <c r="FY192" s="185" t="s">
        <v>906</v>
      </c>
      <c r="FZ192" s="185" t="s">
        <v>907</v>
      </c>
      <c r="GA192" s="185" t="s">
        <v>907</v>
      </c>
      <c r="GB192" s="185" t="s">
        <v>907</v>
      </c>
      <c r="GC192" s="185" t="s">
        <v>907</v>
      </c>
      <c r="GD192" s="174" t="s">
        <v>907</v>
      </c>
      <c r="GE192" s="185" t="s">
        <v>907</v>
      </c>
      <c r="GF192" s="185" t="s">
        <v>907</v>
      </c>
      <c r="GG192" s="185" t="s">
        <v>907</v>
      </c>
      <c r="GH192" s="185" t="s">
        <v>907</v>
      </c>
      <c r="GI192" s="185" t="s">
        <v>908</v>
      </c>
      <c r="GJ192" s="185" t="s">
        <v>909</v>
      </c>
      <c r="GK192" s="185" t="s">
        <v>910</v>
      </c>
      <c r="GL192" s="185" t="s">
        <v>911</v>
      </c>
      <c r="GM192" s="185" t="s">
        <v>912</v>
      </c>
      <c r="GN192" s="185" t="s">
        <v>913</v>
      </c>
      <c r="GO192" s="185" t="s">
        <v>914</v>
      </c>
      <c r="GP192" s="185" t="s">
        <v>915</v>
      </c>
      <c r="GQ192" s="185" t="s">
        <v>916</v>
      </c>
      <c r="GR192" s="174" t="s">
        <v>916</v>
      </c>
      <c r="GS192" s="174" t="s">
        <v>917</v>
      </c>
      <c r="GT192" s="174" t="s">
        <v>917</v>
      </c>
      <c r="GU192" s="174" t="s">
        <v>917</v>
      </c>
      <c r="GV192" s="174" t="s">
        <v>917</v>
      </c>
      <c r="GW192" s="174" t="s">
        <v>917</v>
      </c>
      <c r="GX192" s="174" t="s">
        <v>917</v>
      </c>
      <c r="HB192" s="197">
        <v>189</v>
      </c>
      <c r="HC192" s="194">
        <v>115</v>
      </c>
      <c r="HD192" s="238">
        <v>139.5</v>
      </c>
      <c r="HE192" s="236">
        <v>25</v>
      </c>
      <c r="HF192" s="183">
        <v>254</v>
      </c>
      <c r="HG192" s="193" t="e">
        <f t="shared" si="20"/>
        <v>#N/A</v>
      </c>
      <c r="HH192" s="192" t="e">
        <f t="shared" si="21"/>
        <v>#N/A</v>
      </c>
      <c r="HI192" s="198">
        <v>25</v>
      </c>
      <c r="HJ192" s="185">
        <v>184.5</v>
      </c>
      <c r="HK192" s="174">
        <v>190</v>
      </c>
      <c r="HL192" s="174">
        <v>700</v>
      </c>
      <c r="HM192" s="174">
        <v>820</v>
      </c>
      <c r="HN192" s="174">
        <v>640</v>
      </c>
      <c r="HO192" s="174">
        <v>310</v>
      </c>
      <c r="HP192" s="174">
        <v>300</v>
      </c>
      <c r="HQ192" s="174">
        <v>290</v>
      </c>
      <c r="HR192" s="174">
        <v>280</v>
      </c>
      <c r="HS192" s="174">
        <v>640</v>
      </c>
      <c r="HT192" s="174">
        <v>630</v>
      </c>
      <c r="HU192" s="174">
        <v>290</v>
      </c>
      <c r="HV192" s="174">
        <v>450</v>
      </c>
      <c r="HW192" s="174">
        <v>280</v>
      </c>
      <c r="HX192" s="174">
        <v>270</v>
      </c>
      <c r="HY192" s="174">
        <v>260</v>
      </c>
      <c r="HZ192" s="174">
        <v>250</v>
      </c>
      <c r="IA192" s="174">
        <v>440</v>
      </c>
      <c r="IB192" s="174">
        <v>420</v>
      </c>
      <c r="IC192" s="174">
        <v>250</v>
      </c>
      <c r="ID192" s="174">
        <v>220</v>
      </c>
      <c r="IE192" s="174">
        <v>200</v>
      </c>
      <c r="IF192" s="174">
        <v>192</v>
      </c>
    </row>
    <row r="193" spans="1:240" ht="13.35" customHeight="1" thickBot="1" x14ac:dyDescent="0.25">
      <c r="A193" s="174">
        <v>47</v>
      </c>
      <c r="B193" s="174">
        <f t="shared" si="28"/>
        <v>75</v>
      </c>
      <c r="D193" s="174" t="s">
        <v>1885</v>
      </c>
      <c r="E193" s="174" t="s">
        <v>356</v>
      </c>
      <c r="F193" s="174" t="s">
        <v>1891</v>
      </c>
      <c r="G193" s="174" t="s">
        <v>1891</v>
      </c>
      <c r="H193" s="174" t="s">
        <v>1891</v>
      </c>
      <c r="I193" s="174" t="s">
        <v>1891</v>
      </c>
      <c r="J193" s="174" t="s">
        <v>1891</v>
      </c>
      <c r="K193" s="174" t="s">
        <v>1891</v>
      </c>
      <c r="L193" s="174" t="s">
        <v>1891</v>
      </c>
      <c r="M193" s="174" t="s">
        <v>1903</v>
      </c>
      <c r="N193" s="174" t="s">
        <v>1903</v>
      </c>
      <c r="O193" s="174" t="s">
        <v>1891</v>
      </c>
      <c r="P193" s="174" t="s">
        <v>1891</v>
      </c>
      <c r="Q193" s="174" t="s">
        <v>1903</v>
      </c>
      <c r="R193" s="174" t="s">
        <v>1891</v>
      </c>
      <c r="S193" s="174" t="s">
        <v>1903</v>
      </c>
      <c r="T193" s="174" t="s">
        <v>1903</v>
      </c>
      <c r="U193" s="174" t="s">
        <v>1903</v>
      </c>
      <c r="V193" s="174" t="s">
        <v>1891</v>
      </c>
      <c r="W193" s="174" t="s">
        <v>1891</v>
      </c>
      <c r="X193" s="174" t="s">
        <v>1891</v>
      </c>
      <c r="Y193" s="174" t="s">
        <v>1891</v>
      </c>
      <c r="AA193" s="174" t="s">
        <v>1891</v>
      </c>
      <c r="AB193" s="174" t="s">
        <v>1891</v>
      </c>
      <c r="AC193" s="174" t="s">
        <v>1891</v>
      </c>
      <c r="AD193" s="174" t="s">
        <v>1891</v>
      </c>
      <c r="AF193" s="174" t="s">
        <v>1903</v>
      </c>
      <c r="AG193" s="174" t="s">
        <v>1891</v>
      </c>
      <c r="AH193" s="174" t="s">
        <v>1891</v>
      </c>
      <c r="AJ193" s="174" t="s">
        <v>1891</v>
      </c>
      <c r="AK193" s="174" t="s">
        <v>1891</v>
      </c>
      <c r="AL193" s="174" t="s">
        <v>1891</v>
      </c>
      <c r="AM193" s="174" t="s">
        <v>1903</v>
      </c>
      <c r="AO193" s="174" t="s">
        <v>1903</v>
      </c>
      <c r="AP193" s="174" t="s">
        <v>1903</v>
      </c>
      <c r="AQ193" s="174" t="s">
        <v>1903</v>
      </c>
      <c r="CS193" s="174" t="s">
        <v>1891</v>
      </c>
      <c r="CT193" s="174" t="s">
        <v>1891</v>
      </c>
      <c r="CU193" s="174" t="s">
        <v>1891</v>
      </c>
      <c r="CV193" s="174" t="s">
        <v>1891</v>
      </c>
      <c r="DF193" s="174">
        <v>18</v>
      </c>
      <c r="EO193" s="174" t="s">
        <v>938</v>
      </c>
      <c r="EP193" s="174" t="s">
        <v>939</v>
      </c>
      <c r="EQ193" s="185" t="s">
        <v>940</v>
      </c>
      <c r="ER193" s="174" t="s">
        <v>941</v>
      </c>
      <c r="ES193" s="174" t="s">
        <v>942</v>
      </c>
      <c r="ET193" s="185" t="s">
        <v>943</v>
      </c>
      <c r="EU193" s="185" t="s">
        <v>944</v>
      </c>
      <c r="EV193" s="185" t="s">
        <v>945</v>
      </c>
      <c r="EW193" s="185" t="s">
        <v>946</v>
      </c>
      <c r="EX193" s="185" t="s">
        <v>894</v>
      </c>
      <c r="EY193" s="174" t="s">
        <v>937</v>
      </c>
      <c r="EZ193" s="174" t="s">
        <v>947</v>
      </c>
      <c r="FA193" s="174" t="s">
        <v>948</v>
      </c>
      <c r="FB193" s="185" t="s">
        <v>895</v>
      </c>
      <c r="FC193" s="185" t="s">
        <v>4171</v>
      </c>
      <c r="FD193" s="185" t="s">
        <v>4173</v>
      </c>
      <c r="FE193" s="185" t="s">
        <v>4172</v>
      </c>
      <c r="FF193" s="185" t="s">
        <v>899</v>
      </c>
      <c r="FG193" s="185" t="s">
        <v>949</v>
      </c>
      <c r="FH193" s="185" t="s">
        <v>178</v>
      </c>
      <c r="FI193" s="185" t="s">
        <v>950</v>
      </c>
      <c r="FJ193" s="185" t="s">
        <v>951</v>
      </c>
      <c r="FK193" s="185" t="s">
        <v>952</v>
      </c>
      <c r="FL193" s="185" t="s">
        <v>953</v>
      </c>
      <c r="FM193" s="185" t="s">
        <v>954</v>
      </c>
      <c r="FN193" s="185" t="s">
        <v>955</v>
      </c>
      <c r="FO193" s="185" t="s">
        <v>956</v>
      </c>
      <c r="FP193" s="174" t="s">
        <v>957</v>
      </c>
      <c r="FQ193" s="185" t="s">
        <v>958</v>
      </c>
      <c r="FR193" s="185" t="s">
        <v>959</v>
      </c>
      <c r="FS193" s="185" t="s">
        <v>960</v>
      </c>
      <c r="FT193" s="185" t="s">
        <v>961</v>
      </c>
      <c r="FU193" s="185" t="s">
        <v>962</v>
      </c>
      <c r="FV193" s="185" t="s">
        <v>906</v>
      </c>
      <c r="FW193" s="185" t="s">
        <v>963</v>
      </c>
      <c r="FX193" s="185" t="s">
        <v>964</v>
      </c>
      <c r="FY193" s="185" t="s">
        <v>965</v>
      </c>
      <c r="FZ193" s="185" t="s">
        <v>966</v>
      </c>
      <c r="GA193" s="185" t="s">
        <v>967</v>
      </c>
      <c r="GB193" s="185" t="s">
        <v>968</v>
      </c>
      <c r="GC193" s="185" t="s">
        <v>969</v>
      </c>
      <c r="GD193" s="174" t="s">
        <v>970</v>
      </c>
      <c r="GE193" s="185" t="s">
        <v>971</v>
      </c>
      <c r="GF193" s="185" t="s">
        <v>972</v>
      </c>
      <c r="GG193" s="185" t="s">
        <v>973</v>
      </c>
      <c r="GH193" s="185" t="s">
        <v>974</v>
      </c>
      <c r="GI193" s="185" t="s">
        <v>908</v>
      </c>
      <c r="GJ193" s="185" t="s">
        <v>909</v>
      </c>
      <c r="GK193" s="185" t="s">
        <v>910</v>
      </c>
      <c r="GL193" s="185" t="s">
        <v>911</v>
      </c>
      <c r="GM193" s="185" t="s">
        <v>975</v>
      </c>
      <c r="GN193" s="185" t="s">
        <v>913</v>
      </c>
      <c r="GO193" s="185" t="s">
        <v>914</v>
      </c>
      <c r="GP193" s="185" t="s">
        <v>915</v>
      </c>
      <c r="GQ193" s="185" t="s">
        <v>976</v>
      </c>
      <c r="GR193" s="174" t="s">
        <v>977</v>
      </c>
      <c r="GS193" s="174" t="s">
        <v>978</v>
      </c>
      <c r="GT193" s="174" t="s">
        <v>979</v>
      </c>
      <c r="GU193" s="174" t="s">
        <v>980</v>
      </c>
      <c r="GV193" s="174" t="s">
        <v>981</v>
      </c>
      <c r="GW193" s="174" t="s">
        <v>982</v>
      </c>
      <c r="GX193" s="174" t="s">
        <v>983</v>
      </c>
      <c r="GY193" s="174" t="s">
        <v>984</v>
      </c>
      <c r="GZ193" s="174" t="s">
        <v>985</v>
      </c>
      <c r="HA193" s="174">
        <v>1</v>
      </c>
      <c r="HB193" s="197">
        <v>190</v>
      </c>
      <c r="HC193" s="194">
        <v>115</v>
      </c>
      <c r="HD193" s="238">
        <v>140</v>
      </c>
      <c r="HE193" s="236">
        <v>25</v>
      </c>
      <c r="HF193" s="183">
        <v>255</v>
      </c>
      <c r="HG193" s="193" t="e">
        <f t="shared" si="20"/>
        <v>#N/A</v>
      </c>
      <c r="HH193" s="192" t="e">
        <f t="shared" si="21"/>
        <v>#N/A</v>
      </c>
      <c r="HI193" s="198">
        <v>25</v>
      </c>
      <c r="HJ193" s="185">
        <v>185</v>
      </c>
      <c r="HK193" s="174">
        <v>191</v>
      </c>
      <c r="HL193" s="174">
        <v>703</v>
      </c>
      <c r="HM193" s="174">
        <v>824</v>
      </c>
      <c r="HN193" s="174">
        <v>643</v>
      </c>
      <c r="HO193" s="174">
        <v>311</v>
      </c>
      <c r="HP193" s="174">
        <v>301</v>
      </c>
      <c r="HQ193" s="174">
        <v>291</v>
      </c>
      <c r="HR193" s="174">
        <v>281</v>
      </c>
      <c r="HS193" s="174">
        <v>643</v>
      </c>
      <c r="HT193" s="174">
        <v>633</v>
      </c>
      <c r="HU193" s="174">
        <v>291</v>
      </c>
      <c r="HV193" s="174">
        <v>452</v>
      </c>
      <c r="HW193" s="174">
        <v>281</v>
      </c>
      <c r="HX193" s="174">
        <v>271</v>
      </c>
      <c r="HY193" s="174">
        <v>261</v>
      </c>
      <c r="HZ193" s="174">
        <v>251</v>
      </c>
      <c r="IA193" s="174">
        <v>442</v>
      </c>
      <c r="IB193" s="174">
        <v>422</v>
      </c>
      <c r="IC193" s="174">
        <v>251</v>
      </c>
      <c r="ID193" s="174">
        <v>221</v>
      </c>
      <c r="IE193" s="174">
        <v>201</v>
      </c>
      <c r="IF193" s="174">
        <v>193</v>
      </c>
    </row>
    <row r="194" spans="1:240" ht="13.35" customHeight="1" thickBot="1" x14ac:dyDescent="0.25">
      <c r="A194" s="174">
        <v>48</v>
      </c>
      <c r="B194" s="174">
        <f t="shared" si="28"/>
        <v>76</v>
      </c>
      <c r="D194" s="174" t="s">
        <v>1896</v>
      </c>
      <c r="E194" s="174" t="s">
        <v>1925</v>
      </c>
      <c r="F194" s="174" t="s">
        <v>1903</v>
      </c>
      <c r="G194" s="174" t="s">
        <v>1903</v>
      </c>
      <c r="H194" s="174" t="s">
        <v>1903</v>
      </c>
      <c r="I194" s="174" t="s">
        <v>1903</v>
      </c>
      <c r="J194" s="174" t="s">
        <v>1903</v>
      </c>
      <c r="K194" s="174" t="s">
        <v>1903</v>
      </c>
      <c r="L194" s="174" t="s">
        <v>1903</v>
      </c>
      <c r="M194" s="174" t="s">
        <v>1887</v>
      </c>
      <c r="N194" s="174" t="s">
        <v>1887</v>
      </c>
      <c r="O194" s="174" t="s">
        <v>1903</v>
      </c>
      <c r="P194" s="174" t="s">
        <v>1903</v>
      </c>
      <c r="Q194" s="174" t="s">
        <v>1887</v>
      </c>
      <c r="R194" s="174" t="s">
        <v>1903</v>
      </c>
      <c r="S194" s="174" t="s">
        <v>1887</v>
      </c>
      <c r="T194" s="174" t="s">
        <v>1887</v>
      </c>
      <c r="U194" s="174" t="s">
        <v>1887</v>
      </c>
      <c r="V194" s="174" t="s">
        <v>1903</v>
      </c>
      <c r="W194" s="174" t="s">
        <v>1903</v>
      </c>
      <c r="X194" s="174" t="s">
        <v>1903</v>
      </c>
      <c r="Y194" s="174" t="s">
        <v>1903</v>
      </c>
      <c r="AA194" s="174" t="s">
        <v>1903</v>
      </c>
      <c r="AB194" s="174" t="s">
        <v>1903</v>
      </c>
      <c r="AC194" s="174" t="s">
        <v>1903</v>
      </c>
      <c r="AD194" s="174" t="s">
        <v>1903</v>
      </c>
      <c r="AF194" s="174" t="s">
        <v>1887</v>
      </c>
      <c r="AG194" s="174" t="s">
        <v>1903</v>
      </c>
      <c r="AH194" s="174" t="s">
        <v>1903</v>
      </c>
      <c r="AJ194" s="174" t="s">
        <v>1903</v>
      </c>
      <c r="AK194" s="174" t="s">
        <v>1903</v>
      </c>
      <c r="AL194" s="174" t="s">
        <v>1903</v>
      </c>
      <c r="AM194" s="174" t="s">
        <v>1887</v>
      </c>
      <c r="AO194" s="174" t="s">
        <v>1887</v>
      </c>
      <c r="AP194" s="174" t="s">
        <v>1887</v>
      </c>
      <c r="AQ194" s="174" t="s">
        <v>1887</v>
      </c>
      <c r="CS194" s="174" t="s">
        <v>1903</v>
      </c>
      <c r="CT194" s="174" t="s">
        <v>1903</v>
      </c>
      <c r="CU194" s="174" t="s">
        <v>1903</v>
      </c>
      <c r="CV194" s="174" t="s">
        <v>1903</v>
      </c>
      <c r="DF194" s="174">
        <v>19</v>
      </c>
      <c r="EO194" s="174" t="s">
        <v>1926</v>
      </c>
      <c r="EP194" s="174" t="s">
        <v>1926</v>
      </c>
      <c r="EQ194" s="174" t="s">
        <v>1927</v>
      </c>
      <c r="ER194" s="174" t="s">
        <v>1927</v>
      </c>
      <c r="ES194" s="174" t="s">
        <v>1927</v>
      </c>
      <c r="ET194" s="174" t="s">
        <v>1927</v>
      </c>
      <c r="EU194" s="174" t="s">
        <v>1927</v>
      </c>
      <c r="EV194" s="174" t="s">
        <v>1926</v>
      </c>
      <c r="EW194" s="174" t="s">
        <v>1926</v>
      </c>
      <c r="EX194" s="174" t="s">
        <v>1927</v>
      </c>
      <c r="EY194" s="174" t="s">
        <v>1927</v>
      </c>
      <c r="EZ194" s="174" t="s">
        <v>1927</v>
      </c>
      <c r="FA194" s="174" t="s">
        <v>1927</v>
      </c>
      <c r="FB194" s="174" t="s">
        <v>1927</v>
      </c>
      <c r="FC194" s="174" t="s">
        <v>1928</v>
      </c>
      <c r="FD194" s="174" t="s">
        <v>1929</v>
      </c>
      <c r="FE194" s="174" t="s">
        <v>1928</v>
      </c>
      <c r="FF194" s="174" t="s">
        <v>1927</v>
      </c>
      <c r="FG194" s="174" t="s">
        <v>1927</v>
      </c>
      <c r="FH194" s="174" t="s">
        <v>1927</v>
      </c>
      <c r="FI194" s="174" t="s">
        <v>1927</v>
      </c>
      <c r="FJ194" s="174" t="s">
        <v>1927</v>
      </c>
      <c r="FK194" s="174" t="s">
        <v>1927</v>
      </c>
      <c r="FL194" s="174" t="s">
        <v>1927</v>
      </c>
      <c r="FM194" s="174" t="s">
        <v>1927</v>
      </c>
      <c r="FN194" s="174" t="s">
        <v>1927</v>
      </c>
      <c r="FO194" s="174" t="s">
        <v>1927</v>
      </c>
      <c r="FP194" s="174" t="s">
        <v>1927</v>
      </c>
      <c r="FQ194" s="174" t="s">
        <v>1930</v>
      </c>
      <c r="FR194" s="174" t="s">
        <v>1931</v>
      </c>
      <c r="FS194" s="174" t="s">
        <v>1913</v>
      </c>
      <c r="FT194" s="174" t="s">
        <v>1932</v>
      </c>
      <c r="FU194" s="174" t="s">
        <v>1927</v>
      </c>
      <c r="FV194" s="174" t="s">
        <v>1927</v>
      </c>
      <c r="FW194" s="174" t="s">
        <v>1927</v>
      </c>
      <c r="FX194" s="174" t="s">
        <v>1927</v>
      </c>
      <c r="FY194" s="174" t="s">
        <v>1927</v>
      </c>
      <c r="FZ194" s="174" t="s">
        <v>1931</v>
      </c>
      <c r="GA194" s="174" t="s">
        <v>1926</v>
      </c>
      <c r="GC194" s="174" t="s">
        <v>1926</v>
      </c>
      <c r="GH194" s="174" t="s">
        <v>1926</v>
      </c>
      <c r="GJ194" s="174" t="s">
        <v>1933</v>
      </c>
      <c r="GL194" s="174" t="s">
        <v>1929</v>
      </c>
      <c r="GM194" s="174" t="s">
        <v>1929</v>
      </c>
      <c r="GN194" s="174" t="s">
        <v>1934</v>
      </c>
      <c r="GO194" s="174" t="s">
        <v>1915</v>
      </c>
      <c r="GP194" s="174" t="s">
        <v>1913</v>
      </c>
      <c r="GQ194" s="174" t="s">
        <v>1915</v>
      </c>
      <c r="GR194" s="174" t="s">
        <v>1915</v>
      </c>
      <c r="GS194" s="174" t="s">
        <v>1913</v>
      </c>
      <c r="GT194" s="174" t="s">
        <v>1909</v>
      </c>
      <c r="GU194" s="174" t="s">
        <v>1915</v>
      </c>
      <c r="GV194" s="174" t="s">
        <v>1915</v>
      </c>
      <c r="GX194" s="174" t="s">
        <v>1921</v>
      </c>
      <c r="HA194" s="174">
        <v>2</v>
      </c>
      <c r="HB194" s="197">
        <v>191</v>
      </c>
      <c r="HC194" s="194">
        <v>116</v>
      </c>
      <c r="HD194" s="238">
        <v>140.5</v>
      </c>
      <c r="HE194" s="236">
        <v>25</v>
      </c>
      <c r="HF194" s="183">
        <v>256</v>
      </c>
      <c r="HG194" s="193" t="e">
        <f t="shared" si="20"/>
        <v>#N/A</v>
      </c>
      <c r="HH194" s="192" t="e">
        <f t="shared" si="21"/>
        <v>#N/A</v>
      </c>
      <c r="HI194" s="198">
        <v>25</v>
      </c>
      <c r="HJ194" s="185">
        <v>185.5</v>
      </c>
      <c r="HK194" s="174">
        <v>192</v>
      </c>
      <c r="HL194" s="174">
        <v>706</v>
      </c>
      <c r="HM194" s="174">
        <v>828</v>
      </c>
      <c r="HN194" s="174">
        <v>646</v>
      </c>
      <c r="HO194" s="174">
        <v>312</v>
      </c>
      <c r="HP194" s="174">
        <v>302</v>
      </c>
      <c r="HQ194" s="174">
        <v>292</v>
      </c>
      <c r="HR194" s="174">
        <v>282</v>
      </c>
      <c r="HS194" s="174">
        <v>646</v>
      </c>
      <c r="HT194" s="174">
        <v>636</v>
      </c>
      <c r="HU194" s="174">
        <v>292</v>
      </c>
      <c r="HV194" s="174">
        <v>454</v>
      </c>
      <c r="HW194" s="174">
        <v>282</v>
      </c>
      <c r="HX194" s="174">
        <v>272</v>
      </c>
      <c r="HY194" s="174">
        <v>262</v>
      </c>
      <c r="HZ194" s="174">
        <v>252</v>
      </c>
      <c r="IA194" s="174">
        <v>444</v>
      </c>
      <c r="IB194" s="174">
        <v>424</v>
      </c>
      <c r="IC194" s="174">
        <v>252</v>
      </c>
      <c r="ID194" s="174">
        <v>222</v>
      </c>
      <c r="IE194" s="174">
        <v>202</v>
      </c>
      <c r="IF194" s="174">
        <v>194</v>
      </c>
    </row>
    <row r="195" spans="1:240" ht="13.35" customHeight="1" thickBot="1" x14ac:dyDescent="0.25">
      <c r="A195" s="174">
        <v>49</v>
      </c>
      <c r="B195" s="174">
        <f t="shared" si="28"/>
        <v>77</v>
      </c>
      <c r="D195" s="174" t="s">
        <v>1901</v>
      </c>
      <c r="E195" s="174" t="s">
        <v>1935</v>
      </c>
      <c r="F195" s="174" t="s">
        <v>1887</v>
      </c>
      <c r="G195" s="174" t="s">
        <v>1887</v>
      </c>
      <c r="H195" s="174" t="s">
        <v>1887</v>
      </c>
      <c r="I195" s="174" t="s">
        <v>1887</v>
      </c>
      <c r="J195" s="174" t="s">
        <v>1887</v>
      </c>
      <c r="K195" s="174" t="s">
        <v>1887</v>
      </c>
      <c r="L195" s="174" t="s">
        <v>1887</v>
      </c>
      <c r="M195" s="174" t="s">
        <v>1890</v>
      </c>
      <c r="N195" s="174" t="s">
        <v>1890</v>
      </c>
      <c r="O195" s="174" t="s">
        <v>1887</v>
      </c>
      <c r="P195" s="174" t="s">
        <v>1887</v>
      </c>
      <c r="Q195" s="174" t="s">
        <v>1890</v>
      </c>
      <c r="R195" s="174" t="s">
        <v>1887</v>
      </c>
      <c r="S195" s="174" t="s">
        <v>1890</v>
      </c>
      <c r="T195" s="174" t="s">
        <v>1890</v>
      </c>
      <c r="U195" s="174" t="s">
        <v>1890</v>
      </c>
      <c r="V195" s="174" t="s">
        <v>1887</v>
      </c>
      <c r="W195" s="174" t="s">
        <v>1887</v>
      </c>
      <c r="X195" s="174" t="s">
        <v>1887</v>
      </c>
      <c r="Y195" s="174" t="s">
        <v>1887</v>
      </c>
      <c r="AA195" s="174" t="s">
        <v>1887</v>
      </c>
      <c r="AB195" s="174" t="s">
        <v>1887</v>
      </c>
      <c r="AC195" s="174" t="s">
        <v>1887</v>
      </c>
      <c r="AD195" s="174" t="s">
        <v>1887</v>
      </c>
      <c r="AF195" s="174" t="s">
        <v>1890</v>
      </c>
      <c r="AG195" s="174" t="s">
        <v>1887</v>
      </c>
      <c r="AH195" s="174" t="s">
        <v>1887</v>
      </c>
      <c r="AJ195" s="174" t="s">
        <v>1887</v>
      </c>
      <c r="AK195" s="174" t="s">
        <v>1887</v>
      </c>
      <c r="AL195" s="174" t="s">
        <v>1887</v>
      </c>
      <c r="AM195" s="174" t="s">
        <v>1890</v>
      </c>
      <c r="AO195" s="174" t="s">
        <v>1890</v>
      </c>
      <c r="AP195" s="174" t="s">
        <v>1890</v>
      </c>
      <c r="AQ195" s="174" t="s">
        <v>1890</v>
      </c>
      <c r="CS195" s="174" t="s">
        <v>1887</v>
      </c>
      <c r="CT195" s="174" t="s">
        <v>1887</v>
      </c>
      <c r="CU195" s="174" t="s">
        <v>1887</v>
      </c>
      <c r="CV195" s="174" t="s">
        <v>1887</v>
      </c>
      <c r="DF195" s="174">
        <v>20</v>
      </c>
      <c r="EO195" s="174" t="s">
        <v>1929</v>
      </c>
      <c r="EP195" s="174" t="s">
        <v>1929</v>
      </c>
      <c r="EQ195" s="174" t="s">
        <v>1936</v>
      </c>
      <c r="ER195" s="174" t="s">
        <v>1936</v>
      </c>
      <c r="ES195" s="174" t="s">
        <v>1936</v>
      </c>
      <c r="EU195" s="174" t="s">
        <v>1936</v>
      </c>
      <c r="EW195" s="174" t="s">
        <v>1913</v>
      </c>
      <c r="EY195" s="174" t="s">
        <v>1936</v>
      </c>
      <c r="EZ195" s="174" t="s">
        <v>1936</v>
      </c>
      <c r="FA195" s="174" t="s">
        <v>1936</v>
      </c>
      <c r="FB195" s="174" t="s">
        <v>1929</v>
      </c>
      <c r="FI195" s="174" t="s">
        <v>1937</v>
      </c>
      <c r="FL195" s="174" t="s">
        <v>1936</v>
      </c>
      <c r="FM195" s="174" t="s">
        <v>1936</v>
      </c>
      <c r="FN195" s="174" t="s">
        <v>1936</v>
      </c>
      <c r="FQ195" s="174" t="s">
        <v>1913</v>
      </c>
      <c r="FR195" s="174" t="s">
        <v>1913</v>
      </c>
      <c r="FZ195" s="174" t="s">
        <v>1915</v>
      </c>
      <c r="GA195" s="174" t="s">
        <v>1937</v>
      </c>
      <c r="GC195" s="174" t="s">
        <v>1937</v>
      </c>
      <c r="GH195" s="174" t="s">
        <v>1937</v>
      </c>
      <c r="GJ195" s="174" t="s">
        <v>1913</v>
      </c>
      <c r="GN195" s="174" t="s">
        <v>1915</v>
      </c>
      <c r="GO195" s="174" t="s">
        <v>1921</v>
      </c>
      <c r="GS195" s="174" t="s">
        <v>1935</v>
      </c>
      <c r="HA195" s="174">
        <v>3</v>
      </c>
      <c r="HB195" s="197">
        <v>192</v>
      </c>
      <c r="HC195" s="194">
        <v>116</v>
      </c>
      <c r="HD195" s="238">
        <v>141</v>
      </c>
      <c r="HE195" s="236">
        <v>25</v>
      </c>
      <c r="HF195" s="183">
        <v>257</v>
      </c>
      <c r="HG195" s="193" t="e">
        <f t="shared" ref="HG195:HG203" si="29">HLOOKUP($B$154,$HK$1:$IF$202,$IF194,0)</f>
        <v>#N/A</v>
      </c>
      <c r="HH195" s="192" t="e">
        <f t="shared" si="21"/>
        <v>#N/A</v>
      </c>
      <c r="HI195" s="198">
        <v>25</v>
      </c>
      <c r="HJ195" s="185">
        <v>186</v>
      </c>
      <c r="HK195" s="174">
        <v>193</v>
      </c>
      <c r="HL195" s="174">
        <v>709</v>
      </c>
      <c r="HM195" s="174">
        <v>832</v>
      </c>
      <c r="HN195" s="174">
        <v>649</v>
      </c>
      <c r="HO195" s="174">
        <v>313</v>
      </c>
      <c r="HP195" s="174">
        <v>303</v>
      </c>
      <c r="HQ195" s="174">
        <v>293</v>
      </c>
      <c r="HR195" s="174">
        <v>283</v>
      </c>
      <c r="HS195" s="174">
        <v>649</v>
      </c>
      <c r="HT195" s="174">
        <v>639</v>
      </c>
      <c r="HU195" s="174">
        <v>293</v>
      </c>
      <c r="HV195" s="174">
        <v>456</v>
      </c>
      <c r="HW195" s="174">
        <v>283</v>
      </c>
      <c r="HX195" s="174">
        <v>273</v>
      </c>
      <c r="HY195" s="174">
        <v>263</v>
      </c>
      <c r="HZ195" s="174">
        <v>253</v>
      </c>
      <c r="IA195" s="174">
        <v>446</v>
      </c>
      <c r="IB195" s="174">
        <v>426</v>
      </c>
      <c r="IC195" s="174">
        <v>253</v>
      </c>
      <c r="ID195" s="174">
        <v>223</v>
      </c>
      <c r="IE195" s="174">
        <v>203</v>
      </c>
      <c r="IF195" s="174">
        <v>195</v>
      </c>
    </row>
    <row r="196" spans="1:240" ht="13.35" customHeight="1" thickBot="1" x14ac:dyDescent="0.25">
      <c r="A196" s="174">
        <v>50</v>
      </c>
      <c r="B196" s="174">
        <f t="shared" si="28"/>
        <v>78</v>
      </c>
      <c r="D196" s="174" t="s">
        <v>1904</v>
      </c>
      <c r="E196" s="174" t="s">
        <v>1938</v>
      </c>
      <c r="F196" s="174" t="s">
        <v>1890</v>
      </c>
      <c r="G196" s="174" t="s">
        <v>1890</v>
      </c>
      <c r="H196" s="174" t="s">
        <v>1890</v>
      </c>
      <c r="I196" s="174" t="s">
        <v>1890</v>
      </c>
      <c r="J196" s="174" t="s">
        <v>1890</v>
      </c>
      <c r="K196" s="174" t="s">
        <v>1890</v>
      </c>
      <c r="L196" s="174" t="s">
        <v>1890</v>
      </c>
      <c r="M196" s="174" t="s">
        <v>1898</v>
      </c>
      <c r="N196" s="174" t="s">
        <v>1898</v>
      </c>
      <c r="O196" s="174" t="s">
        <v>1890</v>
      </c>
      <c r="P196" s="174" t="s">
        <v>1890</v>
      </c>
      <c r="Q196" s="174" t="s">
        <v>1898</v>
      </c>
      <c r="R196" s="174" t="s">
        <v>1890</v>
      </c>
      <c r="S196" s="174" t="s">
        <v>1898</v>
      </c>
      <c r="T196" s="174" t="s">
        <v>1898</v>
      </c>
      <c r="U196" s="174" t="s">
        <v>1898</v>
      </c>
      <c r="V196" s="174" t="s">
        <v>1890</v>
      </c>
      <c r="W196" s="174" t="s">
        <v>1890</v>
      </c>
      <c r="X196" s="174" t="s">
        <v>1890</v>
      </c>
      <c r="Y196" s="174" t="s">
        <v>1890</v>
      </c>
      <c r="AA196" s="174" t="s">
        <v>1890</v>
      </c>
      <c r="AB196" s="174" t="s">
        <v>1890</v>
      </c>
      <c r="AC196" s="174" t="s">
        <v>1890</v>
      </c>
      <c r="AD196" s="174" t="s">
        <v>1890</v>
      </c>
      <c r="AF196" s="174" t="s">
        <v>1898</v>
      </c>
      <c r="AG196" s="174" t="s">
        <v>1890</v>
      </c>
      <c r="AH196" s="174" t="s">
        <v>1890</v>
      </c>
      <c r="AJ196" s="174" t="s">
        <v>1890</v>
      </c>
      <c r="AK196" s="174" t="s">
        <v>1890</v>
      </c>
      <c r="AL196" s="174" t="s">
        <v>1890</v>
      </c>
      <c r="AM196" s="174" t="s">
        <v>1898</v>
      </c>
      <c r="AO196" s="174" t="s">
        <v>1898</v>
      </c>
      <c r="AP196" s="174" t="s">
        <v>1898</v>
      </c>
      <c r="AQ196" s="174" t="s">
        <v>1898</v>
      </c>
      <c r="CS196" s="174" t="s">
        <v>1890</v>
      </c>
      <c r="CT196" s="174" t="s">
        <v>1890</v>
      </c>
      <c r="CU196" s="174" t="s">
        <v>1890</v>
      </c>
      <c r="CV196" s="174" t="s">
        <v>1890</v>
      </c>
      <c r="DF196" s="174">
        <v>21</v>
      </c>
      <c r="EO196" s="219"/>
      <c r="EP196" s="219"/>
      <c r="EQ196" s="219" t="s">
        <v>1939</v>
      </c>
      <c r="ER196" s="219" t="s">
        <v>1939</v>
      </c>
      <c r="ES196" s="219" t="s">
        <v>1939</v>
      </c>
      <c r="ET196" s="219"/>
      <c r="EU196" s="219" t="s">
        <v>1939</v>
      </c>
      <c r="EV196" s="219"/>
      <c r="EW196" s="219"/>
      <c r="EX196" s="219"/>
      <c r="EY196" s="219" t="s">
        <v>1939</v>
      </c>
      <c r="EZ196" s="219" t="s">
        <v>1939</v>
      </c>
      <c r="FA196" s="219" t="s">
        <v>1939</v>
      </c>
      <c r="FB196" s="219"/>
      <c r="FC196" s="219"/>
      <c r="FD196" s="219"/>
      <c r="FE196" s="219"/>
      <c r="FF196" s="219"/>
      <c r="FG196" s="219"/>
      <c r="FH196" s="219"/>
      <c r="FI196" s="219"/>
      <c r="FJ196" s="219"/>
      <c r="FK196" s="219"/>
      <c r="FL196" s="219" t="s">
        <v>1939</v>
      </c>
      <c r="FM196" s="219" t="s">
        <v>1939</v>
      </c>
      <c r="FN196" s="219" t="s">
        <v>1939</v>
      </c>
      <c r="FO196" s="219"/>
      <c r="FP196" s="219"/>
      <c r="FQ196" s="219"/>
      <c r="FR196" s="219" t="s">
        <v>1915</v>
      </c>
      <c r="FS196" s="219"/>
      <c r="FT196" s="219"/>
      <c r="FU196" s="219"/>
      <c r="FV196" s="219"/>
      <c r="FW196" s="219"/>
      <c r="FX196" s="219"/>
      <c r="FY196" s="219"/>
      <c r="FZ196" s="219"/>
      <c r="GA196" s="219" t="s">
        <v>1940</v>
      </c>
      <c r="GB196" s="219"/>
      <c r="GC196" s="219" t="s">
        <v>1940</v>
      </c>
      <c r="GD196" s="219"/>
      <c r="GE196" s="219"/>
      <c r="GF196" s="219"/>
      <c r="GG196" s="219"/>
      <c r="GH196" s="219" t="s">
        <v>1940</v>
      </c>
      <c r="GI196" s="219"/>
      <c r="GJ196" s="219" t="s">
        <v>1941</v>
      </c>
      <c r="GK196" s="219"/>
      <c r="GL196" s="219"/>
      <c r="GM196" s="219"/>
      <c r="GN196" s="219"/>
      <c r="GO196" s="219"/>
      <c r="GP196" s="219"/>
      <c r="GQ196" s="219"/>
      <c r="GR196" s="219"/>
      <c r="GS196" s="219" t="s">
        <v>1921</v>
      </c>
      <c r="GT196" s="219"/>
      <c r="GU196" s="219"/>
      <c r="GV196" s="219"/>
      <c r="GW196" s="219"/>
      <c r="GX196" s="219"/>
      <c r="GY196" s="219"/>
      <c r="GZ196" s="219"/>
      <c r="HA196" s="174">
        <v>4</v>
      </c>
      <c r="HB196" s="197">
        <v>193</v>
      </c>
      <c r="HC196" s="194">
        <v>117</v>
      </c>
      <c r="HD196" s="238">
        <v>141.5</v>
      </c>
      <c r="HE196" s="236">
        <v>25</v>
      </c>
      <c r="HF196" s="183">
        <v>258</v>
      </c>
      <c r="HG196" s="193" t="e">
        <f t="shared" si="29"/>
        <v>#N/A</v>
      </c>
      <c r="HH196" s="192" t="e">
        <f t="shared" ref="HH196:HH203" si="30">HLOOKUP($B$155,$HK$1:$IG$202,$IF195,0)</f>
        <v>#N/A</v>
      </c>
      <c r="HI196" s="198">
        <v>25</v>
      </c>
      <c r="HJ196" s="185">
        <v>186.5</v>
      </c>
      <c r="HK196" s="174">
        <v>194</v>
      </c>
      <c r="HL196" s="174">
        <v>712</v>
      </c>
      <c r="HM196" s="174">
        <v>836</v>
      </c>
      <c r="HN196" s="174">
        <v>652</v>
      </c>
      <c r="HO196" s="174">
        <v>314</v>
      </c>
      <c r="HP196" s="174">
        <v>304</v>
      </c>
      <c r="HQ196" s="174">
        <v>294</v>
      </c>
      <c r="HR196" s="174">
        <v>284</v>
      </c>
      <c r="HS196" s="174">
        <v>652</v>
      </c>
      <c r="HT196" s="174">
        <v>642</v>
      </c>
      <c r="HU196" s="174">
        <v>294</v>
      </c>
      <c r="HV196" s="174">
        <v>458</v>
      </c>
      <c r="HW196" s="174">
        <v>284</v>
      </c>
      <c r="HX196" s="174">
        <v>274</v>
      </c>
      <c r="HY196" s="174">
        <v>264</v>
      </c>
      <c r="HZ196" s="174">
        <v>254</v>
      </c>
      <c r="IA196" s="174">
        <v>448</v>
      </c>
      <c r="IB196" s="174">
        <v>428</v>
      </c>
      <c r="IC196" s="174">
        <v>254</v>
      </c>
      <c r="ID196" s="174">
        <v>224</v>
      </c>
      <c r="IE196" s="174">
        <v>204</v>
      </c>
      <c r="IF196" s="174">
        <v>196</v>
      </c>
    </row>
    <row r="197" spans="1:240" ht="13.35" customHeight="1" thickBot="1" x14ac:dyDescent="0.25">
      <c r="A197" s="174">
        <v>51</v>
      </c>
      <c r="B197" s="174">
        <f t="shared" si="28"/>
        <v>79</v>
      </c>
      <c r="D197" s="174" t="s">
        <v>1900</v>
      </c>
      <c r="E197" s="174" t="s">
        <v>1942</v>
      </c>
      <c r="F197" s="174" t="s">
        <v>1898</v>
      </c>
      <c r="G197" s="174" t="s">
        <v>1898</v>
      </c>
      <c r="H197" s="174" t="s">
        <v>1898</v>
      </c>
      <c r="I197" s="174" t="s">
        <v>1898</v>
      </c>
      <c r="J197" s="174" t="s">
        <v>1898</v>
      </c>
      <c r="K197" s="174" t="s">
        <v>1898</v>
      </c>
      <c r="L197" s="174" t="s">
        <v>1898</v>
      </c>
      <c r="M197" s="174" t="s">
        <v>1886</v>
      </c>
      <c r="N197" s="174" t="s">
        <v>1886</v>
      </c>
      <c r="O197" s="174" t="s">
        <v>1898</v>
      </c>
      <c r="P197" s="174" t="s">
        <v>1898</v>
      </c>
      <c r="Q197" s="174" t="s">
        <v>1886</v>
      </c>
      <c r="R197" s="174" t="s">
        <v>1898</v>
      </c>
      <c r="S197" s="174" t="s">
        <v>1886</v>
      </c>
      <c r="T197" s="174" t="s">
        <v>1886</v>
      </c>
      <c r="U197" s="174" t="s">
        <v>1886</v>
      </c>
      <c r="V197" s="174" t="s">
        <v>1898</v>
      </c>
      <c r="W197" s="174" t="s">
        <v>1898</v>
      </c>
      <c r="X197" s="174" t="s">
        <v>1898</v>
      </c>
      <c r="Y197" s="174" t="s">
        <v>1898</v>
      </c>
      <c r="AA197" s="174" t="s">
        <v>1898</v>
      </c>
      <c r="AB197" s="174" t="s">
        <v>1898</v>
      </c>
      <c r="AC197" s="174" t="s">
        <v>1898</v>
      </c>
      <c r="AD197" s="174" t="s">
        <v>1898</v>
      </c>
      <c r="AF197" s="174" t="s">
        <v>1886</v>
      </c>
      <c r="AG197" s="174" t="s">
        <v>1898</v>
      </c>
      <c r="AH197" s="174" t="s">
        <v>1898</v>
      </c>
      <c r="AJ197" s="174" t="s">
        <v>1898</v>
      </c>
      <c r="AK197" s="174" t="s">
        <v>1898</v>
      </c>
      <c r="AL197" s="174" t="s">
        <v>1898</v>
      </c>
      <c r="AM197" s="174" t="s">
        <v>1886</v>
      </c>
      <c r="AO197" s="174" t="s">
        <v>1886</v>
      </c>
      <c r="AP197" s="174" t="s">
        <v>1886</v>
      </c>
      <c r="AQ197" s="174" t="s">
        <v>1886</v>
      </c>
      <c r="CS197" s="174" t="s">
        <v>1898</v>
      </c>
      <c r="CT197" s="174" t="s">
        <v>1898</v>
      </c>
      <c r="CU197" s="174" t="s">
        <v>1898</v>
      </c>
      <c r="CV197" s="174" t="s">
        <v>1898</v>
      </c>
      <c r="DF197" s="174">
        <v>22</v>
      </c>
      <c r="EN197" s="174" t="s">
        <v>1943</v>
      </c>
      <c r="EO197" s="185" t="s">
        <v>1043</v>
      </c>
      <c r="EP197" s="174" t="s">
        <v>1043</v>
      </c>
      <c r="EQ197" s="185" t="s">
        <v>892</v>
      </c>
      <c r="ER197" s="185" t="s">
        <v>892</v>
      </c>
      <c r="ES197" s="174" t="s">
        <v>893</v>
      </c>
      <c r="ET197" s="185" t="s">
        <v>893</v>
      </c>
      <c r="EU197" s="185" t="s">
        <v>893</v>
      </c>
      <c r="EV197" s="185" t="s">
        <v>893</v>
      </c>
      <c r="EW197" s="185" t="s">
        <v>893</v>
      </c>
      <c r="EX197" s="185" t="s">
        <v>894</v>
      </c>
      <c r="EY197" s="174" t="s">
        <v>893</v>
      </c>
      <c r="EZ197" s="174" t="s">
        <v>893</v>
      </c>
      <c r="FA197" s="174" t="s">
        <v>893</v>
      </c>
      <c r="FB197" s="185" t="s">
        <v>895</v>
      </c>
      <c r="FC197" s="185" t="s">
        <v>4171</v>
      </c>
      <c r="FD197" s="185" t="s">
        <v>4173</v>
      </c>
      <c r="FE197" s="185" t="s">
        <v>4172</v>
      </c>
      <c r="FF197" s="185" t="s">
        <v>899</v>
      </c>
      <c r="FG197" s="185" t="s">
        <v>900</v>
      </c>
      <c r="FH197" s="185" t="s">
        <v>901</v>
      </c>
      <c r="FI197" s="185" t="s">
        <v>900</v>
      </c>
      <c r="FJ197" s="185" t="s">
        <v>900</v>
      </c>
      <c r="FK197" s="185" t="s">
        <v>900</v>
      </c>
      <c r="FL197" s="185" t="s">
        <v>900</v>
      </c>
      <c r="FM197" s="185" t="s">
        <v>900</v>
      </c>
      <c r="FN197" s="185" t="s">
        <v>900</v>
      </c>
      <c r="FO197" s="185" t="s">
        <v>900</v>
      </c>
      <c r="FP197" s="174" t="s">
        <v>900</v>
      </c>
      <c r="FQ197" s="185" t="s">
        <v>1117</v>
      </c>
      <c r="FR197" s="185" t="s">
        <v>1118</v>
      </c>
      <c r="FS197" s="185" t="s">
        <v>1049</v>
      </c>
      <c r="FT197" s="185" t="s">
        <v>1049</v>
      </c>
      <c r="FU197" s="185" t="s">
        <v>1049</v>
      </c>
      <c r="FV197" s="185" t="s">
        <v>906</v>
      </c>
      <c r="FW197" s="185" t="s">
        <v>906</v>
      </c>
      <c r="FX197" s="185" t="s">
        <v>906</v>
      </c>
      <c r="FY197" s="185" t="s">
        <v>906</v>
      </c>
      <c r="FZ197" s="185" t="s">
        <v>907</v>
      </c>
      <c r="GA197" s="185" t="s">
        <v>907</v>
      </c>
      <c r="GB197" s="185" t="s">
        <v>907</v>
      </c>
      <c r="GC197" s="185" t="s">
        <v>907</v>
      </c>
      <c r="GD197" s="174" t="s">
        <v>907</v>
      </c>
      <c r="GE197" s="185" t="s">
        <v>907</v>
      </c>
      <c r="GF197" s="185" t="s">
        <v>907</v>
      </c>
      <c r="GG197" s="185" t="s">
        <v>907</v>
      </c>
      <c r="GH197" s="185" t="s">
        <v>907</v>
      </c>
      <c r="GI197" s="185" t="s">
        <v>908</v>
      </c>
      <c r="GJ197" s="185" t="s">
        <v>909</v>
      </c>
      <c r="GK197" s="185" t="s">
        <v>910</v>
      </c>
      <c r="GL197" s="185" t="s">
        <v>911</v>
      </c>
      <c r="GM197" s="185" t="s">
        <v>912</v>
      </c>
      <c r="GN197" s="185" t="s">
        <v>913</v>
      </c>
      <c r="GO197" s="185" t="s">
        <v>914</v>
      </c>
      <c r="GP197" s="185" t="s">
        <v>915</v>
      </c>
      <c r="GQ197" s="185" t="s">
        <v>916</v>
      </c>
      <c r="GR197" s="174" t="s">
        <v>916</v>
      </c>
      <c r="GS197" s="174" t="s">
        <v>917</v>
      </c>
      <c r="GT197" s="174" t="s">
        <v>917</v>
      </c>
      <c r="GU197" s="174" t="s">
        <v>917</v>
      </c>
      <c r="GV197" s="174" t="s">
        <v>917</v>
      </c>
      <c r="GW197" s="174" t="s">
        <v>917</v>
      </c>
      <c r="GX197" s="174" t="s">
        <v>917</v>
      </c>
      <c r="HB197" s="197">
        <v>194</v>
      </c>
      <c r="HC197" s="194">
        <v>117</v>
      </c>
      <c r="HD197" s="238">
        <v>142</v>
      </c>
      <c r="HE197" s="236">
        <v>25</v>
      </c>
      <c r="HF197" s="183">
        <v>259</v>
      </c>
      <c r="HG197" s="193" t="e">
        <f t="shared" si="29"/>
        <v>#N/A</v>
      </c>
      <c r="HH197" s="192" t="e">
        <f t="shared" si="30"/>
        <v>#N/A</v>
      </c>
      <c r="HI197" s="198">
        <v>25</v>
      </c>
      <c r="HJ197" s="185">
        <v>187</v>
      </c>
      <c r="HK197" s="174">
        <v>195</v>
      </c>
      <c r="HL197" s="174">
        <v>715</v>
      </c>
      <c r="HM197" s="174">
        <v>840</v>
      </c>
      <c r="HN197" s="174">
        <v>655</v>
      </c>
      <c r="HO197" s="174">
        <v>315</v>
      </c>
      <c r="HP197" s="174">
        <v>305</v>
      </c>
      <c r="HQ197" s="174">
        <v>295</v>
      </c>
      <c r="HR197" s="174">
        <v>285</v>
      </c>
      <c r="HS197" s="174">
        <v>655</v>
      </c>
      <c r="HT197" s="174">
        <v>645</v>
      </c>
      <c r="HU197" s="174">
        <v>295</v>
      </c>
      <c r="HV197" s="174">
        <v>460</v>
      </c>
      <c r="HW197" s="174">
        <v>285</v>
      </c>
      <c r="HX197" s="174">
        <v>275</v>
      </c>
      <c r="HY197" s="174">
        <v>265</v>
      </c>
      <c r="HZ197" s="174">
        <v>255</v>
      </c>
      <c r="IA197" s="174">
        <v>450</v>
      </c>
      <c r="IB197" s="174">
        <v>430</v>
      </c>
      <c r="IC197" s="174">
        <v>255</v>
      </c>
      <c r="ID197" s="174">
        <v>225</v>
      </c>
      <c r="IE197" s="174">
        <v>205</v>
      </c>
      <c r="IF197" s="174">
        <v>197</v>
      </c>
    </row>
    <row r="198" spans="1:240" ht="13.35" customHeight="1" thickBot="1" x14ac:dyDescent="0.25">
      <c r="A198" s="174">
        <v>52</v>
      </c>
      <c r="B198" s="174">
        <f t="shared" si="28"/>
        <v>80</v>
      </c>
      <c r="D198" s="174" t="s">
        <v>1889</v>
      </c>
      <c r="E198" s="174" t="s">
        <v>1931</v>
      </c>
      <c r="F198" s="174" t="s">
        <v>1886</v>
      </c>
      <c r="G198" s="174" t="s">
        <v>1886</v>
      </c>
      <c r="H198" s="174" t="s">
        <v>1886</v>
      </c>
      <c r="I198" s="174" t="s">
        <v>1886</v>
      </c>
      <c r="J198" s="174" t="s">
        <v>1886</v>
      </c>
      <c r="K198" s="174" t="s">
        <v>1886</v>
      </c>
      <c r="L198" s="174" t="s">
        <v>1886</v>
      </c>
      <c r="O198" s="174" t="s">
        <v>1886</v>
      </c>
      <c r="P198" s="174" t="s">
        <v>1886</v>
      </c>
      <c r="R198" s="174" t="s">
        <v>1886</v>
      </c>
      <c r="V198" s="174" t="s">
        <v>1886</v>
      </c>
      <c r="W198" s="174" t="s">
        <v>1886</v>
      </c>
      <c r="X198" s="174" t="s">
        <v>1886</v>
      </c>
      <c r="Y198" s="174" t="s">
        <v>1886</v>
      </c>
      <c r="AA198" s="174" t="s">
        <v>1886</v>
      </c>
      <c r="AB198" s="174" t="s">
        <v>1886</v>
      </c>
      <c r="AC198" s="174" t="s">
        <v>1886</v>
      </c>
      <c r="AD198" s="174" t="s">
        <v>1886</v>
      </c>
      <c r="AG198" s="174" t="s">
        <v>1886</v>
      </c>
      <c r="AH198" s="174" t="s">
        <v>1886</v>
      </c>
      <c r="AJ198" s="174" t="s">
        <v>1886</v>
      </c>
      <c r="AK198" s="174" t="s">
        <v>1886</v>
      </c>
      <c r="AL198" s="174" t="s">
        <v>1886</v>
      </c>
      <c r="CS198" s="174" t="s">
        <v>1886</v>
      </c>
      <c r="CT198" s="174" t="s">
        <v>1886</v>
      </c>
      <c r="CU198" s="174" t="s">
        <v>1886</v>
      </c>
      <c r="CV198" s="174" t="s">
        <v>1886</v>
      </c>
      <c r="DF198" s="174">
        <v>23</v>
      </c>
      <c r="EO198" s="174" t="s">
        <v>938</v>
      </c>
      <c r="EP198" s="174" t="s">
        <v>939</v>
      </c>
      <c r="EQ198" s="185" t="s">
        <v>940</v>
      </c>
      <c r="ER198" s="174" t="s">
        <v>941</v>
      </c>
      <c r="ES198" s="174" t="s">
        <v>942</v>
      </c>
      <c r="ET198" s="185" t="s">
        <v>943</v>
      </c>
      <c r="EU198" s="185" t="s">
        <v>944</v>
      </c>
      <c r="EV198" s="185" t="s">
        <v>945</v>
      </c>
      <c r="EW198" s="185" t="s">
        <v>946</v>
      </c>
      <c r="EX198" s="185" t="s">
        <v>894</v>
      </c>
      <c r="EY198" s="174" t="s">
        <v>937</v>
      </c>
      <c r="EZ198" s="174" t="s">
        <v>947</v>
      </c>
      <c r="FA198" s="174" t="s">
        <v>948</v>
      </c>
      <c r="FB198" s="185" t="s">
        <v>895</v>
      </c>
      <c r="FC198" s="185" t="s">
        <v>4171</v>
      </c>
      <c r="FD198" s="185" t="s">
        <v>4173</v>
      </c>
      <c r="FE198" s="185" t="s">
        <v>4172</v>
      </c>
      <c r="FF198" s="185" t="s">
        <v>899</v>
      </c>
      <c r="FG198" s="185" t="s">
        <v>949</v>
      </c>
      <c r="FH198" s="185" t="s">
        <v>178</v>
      </c>
      <c r="FI198" s="185" t="s">
        <v>950</v>
      </c>
      <c r="FJ198" s="185" t="s">
        <v>951</v>
      </c>
      <c r="FK198" s="185" t="s">
        <v>952</v>
      </c>
      <c r="FL198" s="185" t="s">
        <v>953</v>
      </c>
      <c r="FM198" s="185" t="s">
        <v>954</v>
      </c>
      <c r="FN198" s="185" t="s">
        <v>955</v>
      </c>
      <c r="FO198" s="185" t="s">
        <v>956</v>
      </c>
      <c r="FP198" s="174" t="s">
        <v>957</v>
      </c>
      <c r="FQ198" s="185" t="s">
        <v>958</v>
      </c>
      <c r="FR198" s="185" t="s">
        <v>959</v>
      </c>
      <c r="FS198" s="185" t="s">
        <v>960</v>
      </c>
      <c r="FT198" s="185" t="s">
        <v>961</v>
      </c>
      <c r="FU198" s="185" t="s">
        <v>962</v>
      </c>
      <c r="FV198" s="185" t="s">
        <v>906</v>
      </c>
      <c r="FW198" s="185" t="s">
        <v>963</v>
      </c>
      <c r="FX198" s="185" t="s">
        <v>964</v>
      </c>
      <c r="FY198" s="185" t="s">
        <v>965</v>
      </c>
      <c r="FZ198" s="185" t="s">
        <v>966</v>
      </c>
      <c r="GA198" s="185" t="s">
        <v>967</v>
      </c>
      <c r="GB198" s="185" t="s">
        <v>968</v>
      </c>
      <c r="GC198" s="185" t="s">
        <v>969</v>
      </c>
      <c r="GD198" s="174" t="s">
        <v>970</v>
      </c>
      <c r="GE198" s="185" t="s">
        <v>971</v>
      </c>
      <c r="GF198" s="185" t="s">
        <v>972</v>
      </c>
      <c r="GG198" s="185" t="s">
        <v>973</v>
      </c>
      <c r="GH198" s="185" t="s">
        <v>974</v>
      </c>
      <c r="GI198" s="185" t="s">
        <v>908</v>
      </c>
      <c r="GJ198" s="185" t="s">
        <v>909</v>
      </c>
      <c r="GK198" s="185" t="s">
        <v>910</v>
      </c>
      <c r="GL198" s="185" t="s">
        <v>911</v>
      </c>
      <c r="GM198" s="185" t="s">
        <v>975</v>
      </c>
      <c r="GN198" s="185" t="s">
        <v>913</v>
      </c>
      <c r="GO198" s="185" t="s">
        <v>914</v>
      </c>
      <c r="GP198" s="185" t="s">
        <v>915</v>
      </c>
      <c r="GQ198" s="185" t="s">
        <v>976</v>
      </c>
      <c r="GR198" s="174" t="s">
        <v>977</v>
      </c>
      <c r="GS198" s="174" t="s">
        <v>978</v>
      </c>
      <c r="GT198" s="174" t="s">
        <v>979</v>
      </c>
      <c r="GU198" s="174" t="s">
        <v>980</v>
      </c>
      <c r="GV198" s="174" t="s">
        <v>981</v>
      </c>
      <c r="GW198" s="174" t="s">
        <v>982</v>
      </c>
      <c r="GX198" s="174" t="s">
        <v>983</v>
      </c>
      <c r="GY198" s="174" t="s">
        <v>984</v>
      </c>
      <c r="GZ198" s="174" t="s">
        <v>985</v>
      </c>
      <c r="HA198" s="174">
        <v>1</v>
      </c>
      <c r="HB198" s="197">
        <v>195</v>
      </c>
      <c r="HC198" s="194">
        <v>118</v>
      </c>
      <c r="HD198" s="238">
        <v>142.5</v>
      </c>
      <c r="HE198" s="236">
        <v>25</v>
      </c>
      <c r="HF198" s="183">
        <v>260</v>
      </c>
      <c r="HG198" s="193" t="e">
        <f t="shared" si="29"/>
        <v>#N/A</v>
      </c>
      <c r="HH198" s="192" t="e">
        <f t="shared" si="30"/>
        <v>#N/A</v>
      </c>
      <c r="HI198" s="198">
        <v>25</v>
      </c>
      <c r="HJ198" s="185">
        <v>187.5</v>
      </c>
      <c r="HK198" s="174">
        <v>196</v>
      </c>
      <c r="HL198" s="174">
        <v>718</v>
      </c>
      <c r="HM198" s="174">
        <v>844</v>
      </c>
      <c r="HN198" s="174">
        <v>658</v>
      </c>
      <c r="HO198" s="174">
        <v>316</v>
      </c>
      <c r="HP198" s="174">
        <v>306</v>
      </c>
      <c r="HQ198" s="174">
        <v>296</v>
      </c>
      <c r="HR198" s="174">
        <v>286</v>
      </c>
      <c r="HS198" s="174">
        <v>658</v>
      </c>
      <c r="HT198" s="174">
        <v>648</v>
      </c>
      <c r="HU198" s="174">
        <v>296</v>
      </c>
      <c r="HV198" s="174">
        <v>462</v>
      </c>
      <c r="HW198" s="174">
        <v>286</v>
      </c>
      <c r="HX198" s="174">
        <v>276</v>
      </c>
      <c r="HY198" s="174">
        <v>266</v>
      </c>
      <c r="HZ198" s="174">
        <v>256</v>
      </c>
      <c r="IA198" s="174">
        <v>452</v>
      </c>
      <c r="IB198" s="174">
        <v>432</v>
      </c>
      <c r="IC198" s="174">
        <v>256</v>
      </c>
      <c r="ID198" s="174">
        <v>226</v>
      </c>
      <c r="IE198" s="174">
        <v>206</v>
      </c>
      <c r="IF198" s="174">
        <v>198</v>
      </c>
    </row>
    <row r="199" spans="1:240" ht="13.35" customHeight="1" thickBot="1" x14ac:dyDescent="0.25">
      <c r="A199" s="174">
        <v>53</v>
      </c>
      <c r="B199" s="174">
        <f t="shared" si="28"/>
        <v>81</v>
      </c>
      <c r="EO199" s="174" t="s">
        <v>1913</v>
      </c>
      <c r="EP199" s="174" t="s">
        <v>1913</v>
      </c>
      <c r="EQ199" s="174" t="s">
        <v>1913</v>
      </c>
      <c r="ER199" s="174" t="s">
        <v>1913</v>
      </c>
      <c r="ES199" s="174" t="s">
        <v>1913</v>
      </c>
      <c r="ET199" s="174" t="s">
        <v>1921</v>
      </c>
      <c r="EU199" s="174" t="s">
        <v>1913</v>
      </c>
      <c r="EV199" s="174" t="s">
        <v>1921</v>
      </c>
      <c r="EW199" s="174" t="s">
        <v>1921</v>
      </c>
      <c r="EX199" s="174" t="s">
        <v>1921</v>
      </c>
      <c r="EY199" s="174" t="s">
        <v>1913</v>
      </c>
      <c r="EZ199" s="174" t="s">
        <v>1913</v>
      </c>
      <c r="FA199" s="174" t="s">
        <v>1913</v>
      </c>
      <c r="FB199" s="174" t="s">
        <v>1915</v>
      </c>
      <c r="FC199" s="174" t="s">
        <v>1921</v>
      </c>
      <c r="FD199" s="174" t="s">
        <v>1908</v>
      </c>
      <c r="FE199" s="174" t="s">
        <v>1944</v>
      </c>
      <c r="FF199" s="174" t="s">
        <v>1921</v>
      </c>
      <c r="FG199" s="174" t="s">
        <v>1908</v>
      </c>
      <c r="FH199" s="174" t="s">
        <v>1908</v>
      </c>
      <c r="FI199" s="174" t="s">
        <v>1913</v>
      </c>
      <c r="FJ199" s="174" t="s">
        <v>1908</v>
      </c>
      <c r="FK199" s="174" t="s">
        <v>1908</v>
      </c>
      <c r="FL199" s="174" t="s">
        <v>1913</v>
      </c>
      <c r="FM199" s="174" t="s">
        <v>1913</v>
      </c>
      <c r="FN199" s="174" t="s">
        <v>1913</v>
      </c>
      <c r="FO199" s="174" t="s">
        <v>1908</v>
      </c>
      <c r="FP199" s="174" t="s">
        <v>1908</v>
      </c>
      <c r="FQ199" s="174" t="s">
        <v>1941</v>
      </c>
      <c r="FR199" s="174" t="s">
        <v>1941</v>
      </c>
      <c r="FS199" s="174" t="s">
        <v>1913</v>
      </c>
      <c r="FT199" s="174" t="s">
        <v>1913</v>
      </c>
      <c r="FU199" s="174" t="s">
        <v>1913</v>
      </c>
      <c r="FV199" s="174" t="s">
        <v>1944</v>
      </c>
      <c r="FW199" s="174" t="s">
        <v>1944</v>
      </c>
      <c r="FX199" s="174" t="s">
        <v>1944</v>
      </c>
      <c r="FY199" s="174" t="s">
        <v>1944</v>
      </c>
      <c r="FZ199" s="174" t="s">
        <v>1916</v>
      </c>
      <c r="GA199" s="174" t="s">
        <v>1913</v>
      </c>
      <c r="GC199" s="174" t="s">
        <v>1913</v>
      </c>
      <c r="GH199" s="174" t="s">
        <v>1913</v>
      </c>
      <c r="GJ199" s="174" t="s">
        <v>1921</v>
      </c>
      <c r="GL199" s="174" t="s">
        <v>1944</v>
      </c>
      <c r="GM199" s="174" t="s">
        <v>1915</v>
      </c>
      <c r="GN199" s="174" t="s">
        <v>1915</v>
      </c>
      <c r="GO199" s="174" t="s">
        <v>1915</v>
      </c>
      <c r="GP199" s="174" t="s">
        <v>1915</v>
      </c>
      <c r="GQ199" s="174" t="s">
        <v>1916</v>
      </c>
      <c r="GR199" s="174" t="s">
        <v>1916</v>
      </c>
      <c r="GS199" s="174" t="s">
        <v>1915</v>
      </c>
      <c r="GT199" s="174" t="s">
        <v>1916</v>
      </c>
      <c r="GU199" s="174" t="s">
        <v>1916</v>
      </c>
      <c r="GV199" s="174" t="s">
        <v>1915</v>
      </c>
      <c r="GX199" s="174" t="s">
        <v>1915</v>
      </c>
      <c r="HA199" s="174">
        <v>2</v>
      </c>
      <c r="HB199" s="197">
        <v>196</v>
      </c>
      <c r="HC199" s="194">
        <v>118</v>
      </c>
      <c r="HD199" s="238">
        <v>143</v>
      </c>
      <c r="HE199" s="236">
        <v>25</v>
      </c>
      <c r="HF199" s="183">
        <v>261</v>
      </c>
      <c r="HG199" s="193" t="e">
        <f t="shared" si="29"/>
        <v>#N/A</v>
      </c>
      <c r="HH199" s="192" t="e">
        <f t="shared" si="30"/>
        <v>#N/A</v>
      </c>
      <c r="HI199" s="198">
        <v>25</v>
      </c>
      <c r="HJ199" s="185">
        <v>188</v>
      </c>
      <c r="HK199" s="174">
        <v>197</v>
      </c>
      <c r="HL199" s="174">
        <v>721</v>
      </c>
      <c r="HM199" s="174">
        <v>848</v>
      </c>
      <c r="HN199" s="174">
        <v>661</v>
      </c>
      <c r="HO199" s="174">
        <v>317</v>
      </c>
      <c r="HP199" s="174">
        <v>307</v>
      </c>
      <c r="HQ199" s="174">
        <v>297</v>
      </c>
      <c r="HR199" s="174">
        <v>287</v>
      </c>
      <c r="HS199" s="174">
        <v>661</v>
      </c>
      <c r="HT199" s="174">
        <v>651</v>
      </c>
      <c r="HU199" s="174">
        <v>297</v>
      </c>
      <c r="HV199" s="174">
        <v>464</v>
      </c>
      <c r="HW199" s="174">
        <v>287</v>
      </c>
      <c r="HX199" s="174">
        <v>277</v>
      </c>
      <c r="HY199" s="174">
        <v>267</v>
      </c>
      <c r="HZ199" s="174">
        <v>257</v>
      </c>
      <c r="IA199" s="174">
        <v>454</v>
      </c>
      <c r="IB199" s="174">
        <v>434</v>
      </c>
      <c r="IC199" s="174">
        <v>257</v>
      </c>
      <c r="ID199" s="174">
        <v>227</v>
      </c>
      <c r="IE199" s="174">
        <v>207</v>
      </c>
      <c r="IF199" s="174">
        <v>199</v>
      </c>
    </row>
    <row r="200" spans="1:240" ht="13.35" customHeight="1" thickBot="1" x14ac:dyDescent="0.25">
      <c r="A200" s="174">
        <v>54</v>
      </c>
      <c r="B200" s="174">
        <f t="shared" si="28"/>
        <v>82</v>
      </c>
      <c r="EO200" s="174" t="s">
        <v>1908</v>
      </c>
      <c r="EP200" s="174" t="s">
        <v>1908</v>
      </c>
      <c r="EQ200" s="174" t="s">
        <v>1908</v>
      </c>
      <c r="ER200" s="174" t="s">
        <v>1908</v>
      </c>
      <c r="ES200" s="174" t="s">
        <v>1908</v>
      </c>
      <c r="ET200" s="174" t="s">
        <v>1945</v>
      </c>
      <c r="EU200" s="174" t="s">
        <v>1908</v>
      </c>
      <c r="EX200" s="174" t="s">
        <v>1946</v>
      </c>
      <c r="EY200" s="174" t="s">
        <v>1908</v>
      </c>
      <c r="EZ200" s="174" t="s">
        <v>1908</v>
      </c>
      <c r="FA200" s="174" t="s">
        <v>1908</v>
      </c>
      <c r="FB200" s="174" t="s">
        <v>1908</v>
      </c>
      <c r="FC200" s="174" t="s">
        <v>1908</v>
      </c>
      <c r="FD200" s="174" t="s">
        <v>1935</v>
      </c>
      <c r="FE200" s="174" t="s">
        <v>1921</v>
      </c>
      <c r="FH200" s="174" t="s">
        <v>1913</v>
      </c>
      <c r="FI200" s="174" t="s">
        <v>1908</v>
      </c>
      <c r="FL200" s="174" t="s">
        <v>1908</v>
      </c>
      <c r="FM200" s="174" t="s">
        <v>1908</v>
      </c>
      <c r="FN200" s="174" t="s">
        <v>1908</v>
      </c>
      <c r="FO200" s="174" t="s">
        <v>1935</v>
      </c>
      <c r="FR200" s="174" t="s">
        <v>1915</v>
      </c>
      <c r="FS200" s="174" t="s">
        <v>1908</v>
      </c>
      <c r="FT200" s="174" t="s">
        <v>1908</v>
      </c>
      <c r="FU200" s="174" t="s">
        <v>1908</v>
      </c>
      <c r="FZ200" s="174" t="s">
        <v>1947</v>
      </c>
      <c r="GJ200" s="174" t="s">
        <v>1913</v>
      </c>
      <c r="GN200" s="174" t="s">
        <v>1948</v>
      </c>
      <c r="GO200" s="174" t="s">
        <v>1913</v>
      </c>
      <c r="GP200" s="174" t="s">
        <v>1913</v>
      </c>
      <c r="GQ200" s="174" t="s">
        <v>1949</v>
      </c>
      <c r="GR200" s="174" t="s">
        <v>1949</v>
      </c>
      <c r="GS200" s="174" t="s">
        <v>1913</v>
      </c>
      <c r="GT200" s="174" t="s">
        <v>1915</v>
      </c>
      <c r="GX200" s="174" t="s">
        <v>1913</v>
      </c>
      <c r="HA200" s="174">
        <v>3</v>
      </c>
      <c r="HB200" s="197">
        <v>197</v>
      </c>
      <c r="HC200" s="194">
        <v>119</v>
      </c>
      <c r="HD200" s="238">
        <v>143.5</v>
      </c>
      <c r="HE200" s="236">
        <v>25</v>
      </c>
      <c r="HF200" s="183">
        <v>262</v>
      </c>
      <c r="HG200" s="193" t="e">
        <f t="shared" si="29"/>
        <v>#N/A</v>
      </c>
      <c r="HH200" s="192" t="e">
        <f t="shared" si="30"/>
        <v>#N/A</v>
      </c>
      <c r="HI200" s="198">
        <v>25</v>
      </c>
      <c r="HJ200" s="185">
        <v>188.5</v>
      </c>
      <c r="HK200" s="174">
        <v>198</v>
      </c>
      <c r="HL200" s="174">
        <v>724</v>
      </c>
      <c r="HM200" s="174">
        <v>852</v>
      </c>
      <c r="HN200" s="174">
        <v>664</v>
      </c>
      <c r="HO200" s="174">
        <v>318</v>
      </c>
      <c r="HP200" s="174">
        <v>308</v>
      </c>
      <c r="HQ200" s="174">
        <v>298</v>
      </c>
      <c r="HR200" s="174">
        <v>288</v>
      </c>
      <c r="HS200" s="174">
        <v>664</v>
      </c>
      <c r="HT200" s="174">
        <v>654</v>
      </c>
      <c r="HU200" s="174">
        <v>298</v>
      </c>
      <c r="HV200" s="174">
        <v>466</v>
      </c>
      <c r="HW200" s="174">
        <v>288</v>
      </c>
      <c r="HX200" s="174">
        <v>278</v>
      </c>
      <c r="HY200" s="174">
        <v>268</v>
      </c>
      <c r="HZ200" s="174">
        <v>258</v>
      </c>
      <c r="IA200" s="174">
        <v>456</v>
      </c>
      <c r="IB200" s="174">
        <v>436</v>
      </c>
      <c r="IC200" s="174">
        <v>258</v>
      </c>
      <c r="ID200" s="174">
        <v>228</v>
      </c>
      <c r="IE200" s="174">
        <v>208</v>
      </c>
      <c r="IF200" s="174">
        <v>200</v>
      </c>
    </row>
    <row r="201" spans="1:240" ht="13.35" customHeight="1" thickBot="1" x14ac:dyDescent="0.25">
      <c r="A201" s="174">
        <v>55</v>
      </c>
      <c r="B201" s="174">
        <f t="shared" ref="B201:B210" si="31">A201+22</f>
        <v>77</v>
      </c>
      <c r="E201" s="207"/>
      <c r="EO201" s="219" t="s">
        <v>1935</v>
      </c>
      <c r="EP201" s="219" t="s">
        <v>1935</v>
      </c>
      <c r="EQ201" s="219" t="s">
        <v>1935</v>
      </c>
      <c r="ER201" s="219" t="s">
        <v>1935</v>
      </c>
      <c r="ES201" s="219" t="s">
        <v>1935</v>
      </c>
      <c r="ET201" s="219" t="s">
        <v>1908</v>
      </c>
      <c r="EU201" s="219" t="s">
        <v>1935</v>
      </c>
      <c r="EV201" s="219"/>
      <c r="EW201" s="219"/>
      <c r="EX201" s="219"/>
      <c r="EY201" s="219" t="s">
        <v>1935</v>
      </c>
      <c r="EZ201" s="219" t="s">
        <v>1935</v>
      </c>
      <c r="FA201" s="219" t="s">
        <v>1935</v>
      </c>
      <c r="FB201" s="219" t="s">
        <v>1913</v>
      </c>
      <c r="FC201" s="219"/>
      <c r="FD201" s="219"/>
      <c r="FE201" s="219"/>
      <c r="FF201" s="219"/>
      <c r="FG201" s="219"/>
      <c r="FH201" s="219"/>
      <c r="FI201" s="219" t="s">
        <v>1935</v>
      </c>
      <c r="FJ201" s="219"/>
      <c r="FK201" s="219"/>
      <c r="FL201" s="219" t="s">
        <v>1935</v>
      </c>
      <c r="FM201" s="219" t="s">
        <v>1935</v>
      </c>
      <c r="FN201" s="219" t="s">
        <v>1935</v>
      </c>
      <c r="FO201" s="219"/>
      <c r="FP201" s="219"/>
      <c r="FQ201" s="219"/>
      <c r="FR201" s="219"/>
      <c r="FS201" s="219"/>
      <c r="FT201" s="219"/>
      <c r="FU201" s="219"/>
      <c r="FV201" s="219"/>
      <c r="FW201" s="219"/>
      <c r="FX201" s="219"/>
      <c r="FY201" s="219"/>
      <c r="FZ201" s="219"/>
      <c r="GA201" s="219"/>
      <c r="GB201" s="219"/>
      <c r="GC201" s="219"/>
      <c r="GD201" s="219"/>
      <c r="GE201" s="219"/>
      <c r="GF201" s="219"/>
      <c r="GG201" s="219"/>
      <c r="GH201" s="219"/>
      <c r="GI201" s="219"/>
      <c r="GJ201" s="219" t="s">
        <v>1908</v>
      </c>
      <c r="GK201" s="219"/>
      <c r="GL201" s="219"/>
      <c r="GM201" s="219"/>
      <c r="GN201" s="219"/>
      <c r="GO201" s="219"/>
      <c r="GP201" s="219"/>
      <c r="GQ201" s="219" t="s">
        <v>1950</v>
      </c>
      <c r="GR201" s="219" t="s">
        <v>1950</v>
      </c>
      <c r="GS201" s="219"/>
      <c r="GT201" s="219"/>
      <c r="GU201" s="219"/>
      <c r="GV201" s="219"/>
      <c r="GW201" s="219"/>
      <c r="GX201" s="219"/>
      <c r="GY201" s="219"/>
      <c r="GZ201" s="219"/>
      <c r="HA201" s="174">
        <v>4</v>
      </c>
      <c r="HB201" s="197">
        <v>198</v>
      </c>
      <c r="HC201" s="194">
        <v>119</v>
      </c>
      <c r="HD201" s="238">
        <v>144</v>
      </c>
      <c r="HE201" s="236">
        <v>25</v>
      </c>
      <c r="HF201" s="183">
        <v>263</v>
      </c>
      <c r="HG201" s="193" t="e">
        <f t="shared" si="29"/>
        <v>#N/A</v>
      </c>
      <c r="HH201" s="192" t="e">
        <f t="shared" si="30"/>
        <v>#N/A</v>
      </c>
      <c r="HI201" s="198">
        <v>25</v>
      </c>
      <c r="HJ201" s="185">
        <v>189</v>
      </c>
      <c r="HK201" s="174">
        <v>199</v>
      </c>
      <c r="HL201" s="174">
        <v>727</v>
      </c>
      <c r="HM201" s="174">
        <v>856</v>
      </c>
      <c r="HN201" s="174">
        <v>667</v>
      </c>
      <c r="HO201" s="174">
        <v>319</v>
      </c>
      <c r="HP201" s="174">
        <v>309</v>
      </c>
      <c r="HQ201" s="174">
        <v>299</v>
      </c>
      <c r="HR201" s="174">
        <v>289</v>
      </c>
      <c r="HS201" s="174">
        <v>667</v>
      </c>
      <c r="HT201" s="174">
        <v>657</v>
      </c>
      <c r="HU201" s="174">
        <v>299</v>
      </c>
      <c r="HV201" s="174">
        <v>468</v>
      </c>
      <c r="HW201" s="174">
        <v>289</v>
      </c>
      <c r="HX201" s="174">
        <v>279</v>
      </c>
      <c r="HY201" s="174">
        <v>269</v>
      </c>
      <c r="HZ201" s="174">
        <v>259</v>
      </c>
      <c r="IA201" s="174">
        <v>458</v>
      </c>
      <c r="IB201" s="174">
        <v>438</v>
      </c>
      <c r="IC201" s="174">
        <v>259</v>
      </c>
      <c r="ID201" s="174">
        <v>229</v>
      </c>
      <c r="IE201" s="174">
        <v>209</v>
      </c>
      <c r="IF201" s="174">
        <v>201</v>
      </c>
    </row>
    <row r="202" spans="1:240" ht="13.35" customHeight="1" thickBot="1" x14ac:dyDescent="0.25">
      <c r="A202" s="174">
        <v>56</v>
      </c>
      <c r="B202" s="174">
        <f t="shared" si="31"/>
        <v>78</v>
      </c>
      <c r="E202" s="207"/>
      <c r="EO202" s="219"/>
      <c r="EP202" s="219"/>
      <c r="EQ202" s="219" t="s">
        <v>1921</v>
      </c>
      <c r="ER202" s="219" t="s">
        <v>1921</v>
      </c>
      <c r="ES202" s="219" t="s">
        <v>1921</v>
      </c>
      <c r="ET202" s="219" t="s">
        <v>1935</v>
      </c>
      <c r="EU202" s="219" t="s">
        <v>1921</v>
      </c>
      <c r="EV202" s="219"/>
      <c r="EW202" s="219"/>
      <c r="EX202" s="219"/>
      <c r="EY202" s="219" t="s">
        <v>1921</v>
      </c>
      <c r="EZ202" s="219" t="s">
        <v>1921</v>
      </c>
      <c r="FA202" s="219" t="s">
        <v>1921</v>
      </c>
      <c r="FB202" s="219"/>
      <c r="FC202" s="219"/>
      <c r="FD202" s="219"/>
      <c r="FE202" s="219"/>
      <c r="FF202" s="219"/>
      <c r="FG202" s="219"/>
      <c r="FH202" s="219"/>
      <c r="FI202" s="219"/>
      <c r="FJ202" s="219"/>
      <c r="FK202" s="219"/>
      <c r="FL202" s="219" t="s">
        <v>1921</v>
      </c>
      <c r="FM202" s="219" t="s">
        <v>1921</v>
      </c>
      <c r="FN202" s="219" t="s">
        <v>1921</v>
      </c>
      <c r="FO202" s="219"/>
      <c r="FP202" s="219"/>
      <c r="FQ202" s="219"/>
      <c r="FR202" s="219"/>
      <c r="FS202" s="219"/>
      <c r="FT202" s="219"/>
      <c r="FU202" s="219"/>
      <c r="FV202" s="219"/>
      <c r="FW202" s="219"/>
      <c r="FX202" s="219"/>
      <c r="FY202" s="219"/>
      <c r="FZ202" s="219"/>
      <c r="GA202" s="219"/>
      <c r="GB202" s="219"/>
      <c r="GC202" s="219"/>
      <c r="GD202" s="219"/>
      <c r="GE202" s="219"/>
      <c r="GF202" s="219"/>
      <c r="GG202" s="219"/>
      <c r="GH202" s="219"/>
      <c r="GI202" s="219"/>
      <c r="GJ202" s="219" t="s">
        <v>1935</v>
      </c>
      <c r="GK202" s="219"/>
      <c r="GL202" s="219"/>
      <c r="GM202" s="219"/>
      <c r="GN202" s="219"/>
      <c r="GO202" s="219"/>
      <c r="GP202" s="219"/>
      <c r="GQ202" s="219" t="s">
        <v>1921</v>
      </c>
      <c r="GR202" s="219" t="s">
        <v>1921</v>
      </c>
      <c r="GS202" s="219"/>
      <c r="GT202" s="219"/>
      <c r="GU202" s="219"/>
      <c r="GV202" s="219"/>
      <c r="GW202" s="219"/>
      <c r="GX202" s="219"/>
      <c r="GY202" s="219"/>
      <c r="GZ202" s="219"/>
      <c r="HA202" s="174">
        <v>5</v>
      </c>
      <c r="HB202" s="197">
        <v>199</v>
      </c>
      <c r="HC202" s="194">
        <v>120</v>
      </c>
      <c r="HD202" s="238">
        <v>144.5</v>
      </c>
      <c r="HE202" s="236">
        <v>25</v>
      </c>
      <c r="HF202" s="183">
        <v>264</v>
      </c>
      <c r="HG202" s="193" t="e">
        <f t="shared" si="29"/>
        <v>#N/A</v>
      </c>
      <c r="HH202" s="192" t="e">
        <f t="shared" si="30"/>
        <v>#N/A</v>
      </c>
      <c r="HI202" s="198">
        <v>25</v>
      </c>
      <c r="HJ202" s="185">
        <v>189.5</v>
      </c>
      <c r="HK202" s="174">
        <v>200</v>
      </c>
      <c r="HL202" s="174">
        <v>730</v>
      </c>
      <c r="HM202" s="174">
        <v>860</v>
      </c>
      <c r="HN202" s="174">
        <v>670</v>
      </c>
      <c r="HO202" s="174">
        <v>320</v>
      </c>
      <c r="HP202" s="174">
        <v>310</v>
      </c>
      <c r="HQ202" s="174">
        <v>300</v>
      </c>
      <c r="HR202" s="174">
        <v>290</v>
      </c>
      <c r="HS202" s="174">
        <v>670</v>
      </c>
      <c r="HT202" s="174">
        <v>660</v>
      </c>
      <c r="HU202" s="174">
        <v>300</v>
      </c>
      <c r="HV202" s="174">
        <v>470</v>
      </c>
      <c r="HW202" s="174">
        <v>290</v>
      </c>
      <c r="HX202" s="174">
        <v>280</v>
      </c>
      <c r="HY202" s="174">
        <v>270</v>
      </c>
      <c r="HZ202" s="174">
        <v>260</v>
      </c>
      <c r="IA202" s="174">
        <v>460</v>
      </c>
      <c r="IB202" s="174">
        <v>440</v>
      </c>
      <c r="IC202" s="174">
        <v>260</v>
      </c>
      <c r="ID202" s="174">
        <v>230</v>
      </c>
      <c r="IE202" s="174">
        <v>210</v>
      </c>
      <c r="IF202" s="174">
        <v>202</v>
      </c>
    </row>
    <row r="203" spans="1:240" ht="13.35" customHeight="1" x14ac:dyDescent="0.2">
      <c r="A203" s="174">
        <v>57</v>
      </c>
      <c r="B203" s="174">
        <f t="shared" si="31"/>
        <v>79</v>
      </c>
      <c r="E203" s="207" t="s">
        <v>1951</v>
      </c>
      <c r="F203" s="174" t="str">
        <f>HLOOKUP(Stats!$B$5,$F$176:$DE$198,2,0)</f>
        <v>None</v>
      </c>
      <c r="EN203" s="174" t="s">
        <v>1952</v>
      </c>
      <c r="EO203" s="185" t="s">
        <v>1043</v>
      </c>
      <c r="EP203" s="174" t="s">
        <v>1043</v>
      </c>
      <c r="EQ203" s="185" t="s">
        <v>892</v>
      </c>
      <c r="ER203" s="185" t="s">
        <v>892</v>
      </c>
      <c r="ES203" s="174" t="s">
        <v>893</v>
      </c>
      <c r="ET203" s="185" t="s">
        <v>893</v>
      </c>
      <c r="EU203" s="185" t="s">
        <v>893</v>
      </c>
      <c r="EV203" s="185" t="s">
        <v>893</v>
      </c>
      <c r="EW203" s="185" t="s">
        <v>893</v>
      </c>
      <c r="EX203" s="185" t="s">
        <v>894</v>
      </c>
      <c r="EY203" s="174" t="s">
        <v>893</v>
      </c>
      <c r="EZ203" s="174" t="s">
        <v>893</v>
      </c>
      <c r="FA203" s="174" t="s">
        <v>893</v>
      </c>
      <c r="FB203" s="185" t="s">
        <v>895</v>
      </c>
      <c r="FC203" s="185" t="s">
        <v>4171</v>
      </c>
      <c r="FD203" s="185" t="s">
        <v>4173</v>
      </c>
      <c r="FE203" s="185" t="s">
        <v>4172</v>
      </c>
      <c r="FF203" s="185" t="s">
        <v>899</v>
      </c>
      <c r="FG203" s="185" t="s">
        <v>900</v>
      </c>
      <c r="FH203" s="185" t="s">
        <v>901</v>
      </c>
      <c r="FI203" s="185" t="s">
        <v>900</v>
      </c>
      <c r="FJ203" s="185" t="s">
        <v>900</v>
      </c>
      <c r="FK203" s="185" t="s">
        <v>900</v>
      </c>
      <c r="FL203" s="185" t="s">
        <v>900</v>
      </c>
      <c r="FM203" s="185" t="s">
        <v>900</v>
      </c>
      <c r="FN203" s="185" t="s">
        <v>900</v>
      </c>
      <c r="FO203" s="185" t="s">
        <v>900</v>
      </c>
      <c r="FP203" s="174" t="s">
        <v>900</v>
      </c>
      <c r="FQ203" s="185" t="s">
        <v>1117</v>
      </c>
      <c r="FR203" s="185" t="s">
        <v>1118</v>
      </c>
      <c r="FS203" s="185" t="s">
        <v>1049</v>
      </c>
      <c r="FT203" s="185" t="s">
        <v>1049</v>
      </c>
      <c r="FU203" s="185" t="s">
        <v>1049</v>
      </c>
      <c r="FV203" s="185" t="s">
        <v>906</v>
      </c>
      <c r="FW203" s="185" t="s">
        <v>906</v>
      </c>
      <c r="FX203" s="185" t="s">
        <v>906</v>
      </c>
      <c r="FY203" s="185" t="s">
        <v>906</v>
      </c>
      <c r="FZ203" s="185" t="s">
        <v>907</v>
      </c>
      <c r="GA203" s="185" t="s">
        <v>907</v>
      </c>
      <c r="GB203" s="185" t="s">
        <v>907</v>
      </c>
      <c r="GC203" s="185" t="s">
        <v>907</v>
      </c>
      <c r="GD203" s="174" t="s">
        <v>907</v>
      </c>
      <c r="GE203" s="185" t="s">
        <v>907</v>
      </c>
      <c r="GF203" s="185" t="s">
        <v>907</v>
      </c>
      <c r="GG203" s="185" t="s">
        <v>907</v>
      </c>
      <c r="GH203" s="185" t="s">
        <v>907</v>
      </c>
      <c r="GI203" s="185" t="s">
        <v>908</v>
      </c>
      <c r="GJ203" s="185" t="s">
        <v>909</v>
      </c>
      <c r="GK203" s="185" t="s">
        <v>910</v>
      </c>
      <c r="GL203" s="185" t="s">
        <v>911</v>
      </c>
      <c r="GM203" s="185" t="s">
        <v>912</v>
      </c>
      <c r="GN203" s="185" t="s">
        <v>913</v>
      </c>
      <c r="GO203" s="185" t="s">
        <v>914</v>
      </c>
      <c r="GP203" s="185" t="s">
        <v>915</v>
      </c>
      <c r="GQ203" s="185" t="s">
        <v>916</v>
      </c>
      <c r="GR203" s="174" t="s">
        <v>916</v>
      </c>
      <c r="GS203" s="174" t="s">
        <v>917</v>
      </c>
      <c r="GT203" s="174" t="s">
        <v>917</v>
      </c>
      <c r="GU203" s="174" t="s">
        <v>917</v>
      </c>
      <c r="GV203" s="174" t="s">
        <v>917</v>
      </c>
      <c r="GW203" s="174" t="s">
        <v>917</v>
      </c>
      <c r="GX203" s="174" t="s">
        <v>917</v>
      </c>
      <c r="HB203" s="197">
        <v>200</v>
      </c>
      <c r="HC203" s="194">
        <v>120</v>
      </c>
      <c r="HD203" s="238">
        <v>145</v>
      </c>
      <c r="HE203" s="236">
        <v>25</v>
      </c>
      <c r="HF203" s="183">
        <v>265</v>
      </c>
      <c r="HG203" s="193" t="e">
        <f t="shared" si="29"/>
        <v>#N/A</v>
      </c>
      <c r="HH203" s="192" t="e">
        <f t="shared" si="30"/>
        <v>#N/A</v>
      </c>
      <c r="HI203" s="198">
        <v>25</v>
      </c>
      <c r="HJ203" s="185">
        <v>190</v>
      </c>
    </row>
    <row r="204" spans="1:240" ht="13.35" customHeight="1" x14ac:dyDescent="0.2">
      <c r="A204" s="174">
        <v>58</v>
      </c>
      <c r="B204" s="174">
        <f t="shared" si="31"/>
        <v>80</v>
      </c>
      <c r="E204" s="207"/>
      <c r="F204" s="174" t="str">
        <f>HLOOKUP(Stats!$B$5,$F$176:$DE$198,3,0)</f>
        <v>Arien</v>
      </c>
      <c r="EO204" s="174" t="s">
        <v>938</v>
      </c>
      <c r="EP204" s="174" t="s">
        <v>939</v>
      </c>
      <c r="EQ204" s="185" t="s">
        <v>940</v>
      </c>
      <c r="ER204" s="174" t="s">
        <v>941</v>
      </c>
      <c r="ES204" s="174" t="s">
        <v>942</v>
      </c>
      <c r="ET204" s="185" t="s">
        <v>943</v>
      </c>
      <c r="EU204" s="185" t="s">
        <v>944</v>
      </c>
      <c r="EV204" s="185" t="s">
        <v>945</v>
      </c>
      <c r="EW204" s="185" t="s">
        <v>946</v>
      </c>
      <c r="EX204" s="185" t="s">
        <v>894</v>
      </c>
      <c r="EY204" s="174" t="s">
        <v>937</v>
      </c>
      <c r="EZ204" s="174" t="s">
        <v>947</v>
      </c>
      <c r="FA204" s="174" t="s">
        <v>948</v>
      </c>
      <c r="FB204" s="185" t="s">
        <v>895</v>
      </c>
      <c r="FC204" s="185" t="s">
        <v>4171</v>
      </c>
      <c r="FD204" s="185" t="s">
        <v>4173</v>
      </c>
      <c r="FE204" s="185" t="s">
        <v>4172</v>
      </c>
      <c r="FF204" s="185" t="s">
        <v>899</v>
      </c>
      <c r="FG204" s="185" t="s">
        <v>949</v>
      </c>
      <c r="FH204" s="185" t="s">
        <v>178</v>
      </c>
      <c r="FI204" s="185" t="s">
        <v>950</v>
      </c>
      <c r="FJ204" s="185" t="s">
        <v>951</v>
      </c>
      <c r="FK204" s="185" t="s">
        <v>952</v>
      </c>
      <c r="FL204" s="185" t="s">
        <v>953</v>
      </c>
      <c r="FM204" s="185" t="s">
        <v>954</v>
      </c>
      <c r="FN204" s="185" t="s">
        <v>955</v>
      </c>
      <c r="FO204" s="185" t="s">
        <v>956</v>
      </c>
      <c r="FP204" s="174" t="s">
        <v>957</v>
      </c>
      <c r="FQ204" s="185" t="s">
        <v>958</v>
      </c>
      <c r="FR204" s="185" t="s">
        <v>959</v>
      </c>
      <c r="FS204" s="185" t="s">
        <v>960</v>
      </c>
      <c r="FT204" s="185" t="s">
        <v>961</v>
      </c>
      <c r="FU204" s="185" t="s">
        <v>962</v>
      </c>
      <c r="FV204" s="185" t="s">
        <v>906</v>
      </c>
      <c r="FW204" s="185" t="s">
        <v>963</v>
      </c>
      <c r="FX204" s="185" t="s">
        <v>964</v>
      </c>
      <c r="FY204" s="185" t="s">
        <v>965</v>
      </c>
      <c r="FZ204" s="185" t="s">
        <v>966</v>
      </c>
      <c r="GA204" s="185" t="s">
        <v>967</v>
      </c>
      <c r="GB204" s="185" t="s">
        <v>968</v>
      </c>
      <c r="GC204" s="185" t="s">
        <v>969</v>
      </c>
      <c r="GD204" s="174" t="s">
        <v>970</v>
      </c>
      <c r="GE204" s="185" t="s">
        <v>971</v>
      </c>
      <c r="GF204" s="185" t="s">
        <v>972</v>
      </c>
      <c r="GG204" s="185" t="s">
        <v>973</v>
      </c>
      <c r="GH204" s="185" t="s">
        <v>974</v>
      </c>
      <c r="GI204" s="185" t="s">
        <v>908</v>
      </c>
      <c r="GJ204" s="185" t="s">
        <v>909</v>
      </c>
      <c r="GK204" s="185" t="s">
        <v>910</v>
      </c>
      <c r="GL204" s="185" t="s">
        <v>911</v>
      </c>
      <c r="GM204" s="185" t="s">
        <v>975</v>
      </c>
      <c r="GN204" s="185" t="s">
        <v>913</v>
      </c>
      <c r="GO204" s="185" t="s">
        <v>914</v>
      </c>
      <c r="GP204" s="185" t="s">
        <v>915</v>
      </c>
      <c r="GQ204" s="185" t="s">
        <v>976</v>
      </c>
      <c r="GR204" s="174" t="s">
        <v>977</v>
      </c>
      <c r="GS204" s="174" t="s">
        <v>978</v>
      </c>
      <c r="GT204" s="174" t="s">
        <v>979</v>
      </c>
      <c r="GU204" s="174" t="s">
        <v>980</v>
      </c>
      <c r="GV204" s="174" t="s">
        <v>981</v>
      </c>
      <c r="GW204" s="174" t="s">
        <v>982</v>
      </c>
      <c r="GX204" s="174" t="s">
        <v>983</v>
      </c>
      <c r="GY204" s="174" t="s">
        <v>984</v>
      </c>
      <c r="GZ204" s="174" t="s">
        <v>985</v>
      </c>
      <c r="HA204" s="174">
        <v>1</v>
      </c>
    </row>
    <row r="205" spans="1:240" ht="13.35" customHeight="1" x14ac:dyDescent="0.2">
      <c r="A205" s="174">
        <v>59</v>
      </c>
      <c r="B205" s="174">
        <f t="shared" si="31"/>
        <v>81</v>
      </c>
      <c r="E205" s="207"/>
      <c r="F205" s="174" t="str">
        <f>HLOOKUP(Stats!$B$5,$F$176:$DE$198,4,0)</f>
        <v>Aulë</v>
      </c>
      <c r="EO205" s="174" t="s">
        <v>1913</v>
      </c>
      <c r="EP205" s="174" t="s">
        <v>1913</v>
      </c>
      <c r="EQ205" s="174" t="s">
        <v>1916</v>
      </c>
      <c r="ER205" s="174" t="s">
        <v>1916</v>
      </c>
      <c r="ES205" s="174" t="s">
        <v>1916</v>
      </c>
      <c r="ET205" s="174" t="s">
        <v>1915</v>
      </c>
      <c r="EU205" s="174" t="s">
        <v>1916</v>
      </c>
      <c r="EV205" s="174" t="s">
        <v>1915</v>
      </c>
      <c r="EW205" s="174" t="s">
        <v>1915</v>
      </c>
      <c r="EX205" s="174" t="s">
        <v>1915</v>
      </c>
      <c r="EY205" s="174" t="s">
        <v>1916</v>
      </c>
      <c r="EZ205" s="174" t="s">
        <v>1916</v>
      </c>
      <c r="FA205" s="174" t="s">
        <v>1916</v>
      </c>
      <c r="FB205" s="174" t="s">
        <v>1916</v>
      </c>
      <c r="FC205" s="174" t="s">
        <v>1953</v>
      </c>
      <c r="FD205" s="174" t="s">
        <v>1954</v>
      </c>
      <c r="FE205" s="174" t="s">
        <v>1927</v>
      </c>
      <c r="FF205" s="174" t="s">
        <v>1913</v>
      </c>
      <c r="FG205" s="174" t="s">
        <v>1955</v>
      </c>
      <c r="FH205" s="174" t="s">
        <v>1956</v>
      </c>
      <c r="FI205" s="174" t="s">
        <v>1913</v>
      </c>
      <c r="FJ205" s="174" t="s">
        <v>1955</v>
      </c>
      <c r="FK205" s="174" t="s">
        <v>1955</v>
      </c>
      <c r="FL205" s="174" t="s">
        <v>1916</v>
      </c>
      <c r="FM205" s="174" t="s">
        <v>1916</v>
      </c>
      <c r="FN205" s="174" t="s">
        <v>1916</v>
      </c>
      <c r="FO205" s="174" t="s">
        <v>1955</v>
      </c>
      <c r="FP205" s="174" t="s">
        <v>1955</v>
      </c>
      <c r="FQ205" s="174" t="s">
        <v>1915</v>
      </c>
      <c r="FR205" s="174" t="s">
        <v>1915</v>
      </c>
      <c r="FS205" s="174" t="s">
        <v>1913</v>
      </c>
      <c r="FT205" s="174" t="s">
        <v>1957</v>
      </c>
      <c r="FV205" s="174" t="s">
        <v>1927</v>
      </c>
      <c r="FW205" s="174" t="s">
        <v>1927</v>
      </c>
      <c r="FX205" s="174" t="s">
        <v>1927</v>
      </c>
      <c r="FY205" s="174" t="s">
        <v>1927</v>
      </c>
      <c r="FZ205" s="174" t="s">
        <v>1915</v>
      </c>
      <c r="GA205" s="174" t="s">
        <v>1915</v>
      </c>
      <c r="GC205" s="174" t="s">
        <v>1915</v>
      </c>
      <c r="GH205" s="174" t="s">
        <v>1915</v>
      </c>
      <c r="GJ205" s="174" t="s">
        <v>1915</v>
      </c>
      <c r="GL205" s="174" t="s">
        <v>1916</v>
      </c>
      <c r="GM205" s="174" t="s">
        <v>1915</v>
      </c>
      <c r="GN205" s="174" t="s">
        <v>1915</v>
      </c>
      <c r="GO205" s="174" t="s">
        <v>1915</v>
      </c>
      <c r="GP205" s="174" t="s">
        <v>1915</v>
      </c>
      <c r="GQ205" s="174" t="s">
        <v>1909</v>
      </c>
      <c r="GR205" s="174" t="s">
        <v>1909</v>
      </c>
      <c r="GS205" s="174" t="s">
        <v>1915</v>
      </c>
      <c r="GT205" s="174" t="s">
        <v>1909</v>
      </c>
      <c r="GU205" s="174" t="s">
        <v>1915</v>
      </c>
      <c r="GV205" s="174" t="s">
        <v>1915</v>
      </c>
      <c r="GX205" s="174" t="s">
        <v>1915</v>
      </c>
      <c r="HA205" s="174">
        <v>2</v>
      </c>
    </row>
    <row r="206" spans="1:240" ht="13.35" customHeight="1" x14ac:dyDescent="0.2">
      <c r="A206" s="174">
        <v>60</v>
      </c>
      <c r="B206" s="174">
        <f t="shared" si="31"/>
        <v>82</v>
      </c>
      <c r="E206" s="207"/>
      <c r="F206" s="174" t="str">
        <f>HLOOKUP(Stats!$B$5,$F$176:$DE$198,5,0)</f>
        <v>Ben-Adar</v>
      </c>
      <c r="EQ206" s="174" t="s">
        <v>1915</v>
      </c>
      <c r="ER206" s="174" t="s">
        <v>1915</v>
      </c>
      <c r="ES206" s="174" t="s">
        <v>1915</v>
      </c>
      <c r="ET206" s="174" t="s">
        <v>1941</v>
      </c>
      <c r="EU206" s="174" t="s">
        <v>1915</v>
      </c>
      <c r="EX206" s="174" t="s">
        <v>1941</v>
      </c>
      <c r="EY206" s="174" t="s">
        <v>1915</v>
      </c>
      <c r="EZ206" s="174" t="s">
        <v>1915</v>
      </c>
      <c r="FA206" s="174" t="s">
        <v>1915</v>
      </c>
      <c r="FB206" s="174" t="s">
        <v>1915</v>
      </c>
      <c r="FC206" s="174" t="s">
        <v>1927</v>
      </c>
      <c r="FF206" s="174" t="s">
        <v>1915</v>
      </c>
      <c r="FL206" s="174" t="s">
        <v>1915</v>
      </c>
      <c r="FM206" s="174" t="s">
        <v>1915</v>
      </c>
      <c r="FN206" s="174" t="s">
        <v>1915</v>
      </c>
      <c r="GJ206" s="174" t="s">
        <v>1913</v>
      </c>
      <c r="GN206" s="174" t="s">
        <v>1921</v>
      </c>
      <c r="GP206" s="174" t="s">
        <v>1913</v>
      </c>
      <c r="GQ206" s="174" t="s">
        <v>357</v>
      </c>
      <c r="GR206" s="174" t="s">
        <v>357</v>
      </c>
      <c r="GS206" s="174" t="s">
        <v>1921</v>
      </c>
      <c r="GX206" s="174" t="s">
        <v>1921</v>
      </c>
      <c r="HA206" s="174">
        <v>3</v>
      </c>
    </row>
    <row r="207" spans="1:240" ht="13.35" customHeight="1" x14ac:dyDescent="0.2">
      <c r="A207" s="174">
        <v>61</v>
      </c>
      <c r="B207" s="174">
        <f t="shared" si="31"/>
        <v>83</v>
      </c>
      <c r="E207" s="207"/>
      <c r="F207" s="174" t="str">
        <f>HLOOKUP(Stats!$B$5,$F$176:$DE$198,6,0)</f>
        <v>Ëonwë</v>
      </c>
      <c r="EQ207" s="174" t="s">
        <v>1955</v>
      </c>
      <c r="ER207" s="174" t="s">
        <v>1955</v>
      </c>
      <c r="ES207" s="174" t="s">
        <v>1955</v>
      </c>
      <c r="EU207" s="174" t="s">
        <v>1955</v>
      </c>
      <c r="EY207" s="174" t="s">
        <v>1955</v>
      </c>
      <c r="EZ207" s="174" t="s">
        <v>1955</v>
      </c>
      <c r="FA207" s="174" t="s">
        <v>1955</v>
      </c>
      <c r="FB207" s="174" t="s">
        <v>1941</v>
      </c>
      <c r="FL207" s="174" t="s">
        <v>1955</v>
      </c>
      <c r="FM207" s="174" t="s">
        <v>1955</v>
      </c>
      <c r="FN207" s="174" t="s">
        <v>1955</v>
      </c>
      <c r="HA207" s="174">
        <v>4</v>
      </c>
    </row>
    <row r="208" spans="1:240" ht="13.35" customHeight="1" x14ac:dyDescent="0.2">
      <c r="A208" s="174">
        <v>62</v>
      </c>
      <c r="B208" s="174">
        <f t="shared" si="31"/>
        <v>84</v>
      </c>
      <c r="E208" s="207"/>
      <c r="F208" s="174" t="str">
        <f>HLOOKUP(Stats!$B$5,$F$176:$DE$198,7,0)</f>
        <v>Estë</v>
      </c>
      <c r="EQ208" s="174" t="s">
        <v>1913</v>
      </c>
      <c r="ER208" s="174" t="s">
        <v>1913</v>
      </c>
      <c r="ES208" s="174" t="s">
        <v>1913</v>
      </c>
      <c r="EU208" s="174" t="s">
        <v>1913</v>
      </c>
      <c r="EY208" s="174" t="s">
        <v>1913</v>
      </c>
      <c r="EZ208" s="174" t="s">
        <v>1913</v>
      </c>
      <c r="FA208" s="174" t="s">
        <v>1913</v>
      </c>
      <c r="FL208" s="174" t="s">
        <v>1913</v>
      </c>
      <c r="FM208" s="174" t="s">
        <v>1913</v>
      </c>
      <c r="FN208" s="174" t="s">
        <v>1913</v>
      </c>
    </row>
    <row r="209" spans="1:151" ht="13.35" customHeight="1" x14ac:dyDescent="0.2">
      <c r="A209" s="174">
        <v>63</v>
      </c>
      <c r="B209" s="174">
        <f t="shared" si="31"/>
        <v>85</v>
      </c>
      <c r="E209" s="207"/>
      <c r="F209" s="174" t="str">
        <f>HLOOKUP(Stats!$B$5,$F$176:$DE$198,8,0)</f>
        <v>Ilmarë</v>
      </c>
    </row>
    <row r="210" spans="1:151" ht="13.35" customHeight="1" x14ac:dyDescent="0.2">
      <c r="A210" s="174">
        <v>64</v>
      </c>
      <c r="B210" s="174">
        <f t="shared" si="31"/>
        <v>86</v>
      </c>
      <c r="E210" s="207"/>
      <c r="F210" s="174" t="str">
        <f>HLOOKUP(Stats!$B$5,$F$176:$DE$198,9,0)</f>
        <v>Irmo</v>
      </c>
      <c r="EN210" s="174" t="s">
        <v>1924</v>
      </c>
      <c r="EO210" s="174" t="e">
        <f>HLOOKUP(Stats!$B$2,$EO$193:$GZ$196,2,0)</f>
        <v>#N/A</v>
      </c>
      <c r="EP210" s="174" t="e">
        <f>HLOOKUP(Stats!$B$2,$EO$193:$GZ$196,2,0)</f>
        <v>#N/A</v>
      </c>
      <c r="EQ210" s="174" t="s">
        <v>1943</v>
      </c>
      <c r="ER210" s="174" t="e">
        <f>HLOOKUP(Stats!$B$2,$EO$198:$GZ$202,2,0)</f>
        <v>#N/A</v>
      </c>
      <c r="ET210" s="174" t="s">
        <v>1952</v>
      </c>
      <c r="EU210" s="174" t="e">
        <f>HLOOKUP(Stats!$B$2,$EO$204:$GZ$208,2,0)</f>
        <v>#N/A</v>
      </c>
    </row>
    <row r="211" spans="1:151" ht="13.35" customHeight="1" x14ac:dyDescent="0.2">
      <c r="A211" s="174">
        <v>65</v>
      </c>
      <c r="B211" s="174">
        <f t="shared" ref="B211:B220" si="32">A211+17</f>
        <v>82</v>
      </c>
      <c r="E211" s="207"/>
      <c r="F211" s="174" t="str">
        <f>HLOOKUP(Stats!$B$5,$F$176:$DE$198,10,0)</f>
        <v>Manwë</v>
      </c>
      <c r="EO211" s="174" t="e">
        <f>HLOOKUP(Stats!$B$2,$EO$193:$GZ$196,3,0)</f>
        <v>#N/A</v>
      </c>
      <c r="ER211" s="174" t="e">
        <f>HLOOKUP(Stats!$B$2,$EO$198:$GZ$202,3,0)</f>
        <v>#N/A</v>
      </c>
      <c r="EU211" s="174" t="e">
        <f>HLOOKUP(Stats!$B$2,$EO$204:$GZ$208,3,0)</f>
        <v>#N/A</v>
      </c>
    </row>
    <row r="212" spans="1:151" ht="13.35" customHeight="1" x14ac:dyDescent="0.2">
      <c r="A212" s="174">
        <v>66</v>
      </c>
      <c r="B212" s="174">
        <f t="shared" si="32"/>
        <v>83</v>
      </c>
      <c r="E212" s="207"/>
      <c r="F212" s="174" t="str">
        <f>HLOOKUP(Stats!$B$5,$F$176:$DE$198,11,0)</f>
        <v>Morgoth</v>
      </c>
      <c r="EO212" s="174" t="e">
        <f>HLOOKUP(Stats!$B$2,$EO$193:$GZ$196,4,0)</f>
        <v>#N/A</v>
      </c>
      <c r="ER212" s="174" t="e">
        <f>HLOOKUP(Stats!$B$2,$EO$198:$GZ$202,4,0)</f>
        <v>#N/A</v>
      </c>
      <c r="EU212" s="174" t="e">
        <f>HLOOKUP(Stats!$B$2,$EO$204:$GZ$208,4,0)</f>
        <v>#N/A</v>
      </c>
    </row>
    <row r="213" spans="1:151" ht="13.35" customHeight="1" x14ac:dyDescent="0.2">
      <c r="A213" s="174">
        <v>67</v>
      </c>
      <c r="B213" s="174">
        <f t="shared" si="32"/>
        <v>84</v>
      </c>
      <c r="E213" s="207"/>
      <c r="F213" s="174" t="str">
        <f>HLOOKUP(Stats!$B$5,$F$176:$DE$198,12,0)</f>
        <v>Námo</v>
      </c>
      <c r="ER213" s="174" t="e">
        <f>HLOOKUP(Stats!$B$2,$EO$198:$GZ$202,5,0)</f>
        <v>#N/A</v>
      </c>
      <c r="EU213" s="174" t="e">
        <f>HLOOKUP(Stats!$B$2,$EO$204:$GZ$208,5,0)</f>
        <v>#N/A</v>
      </c>
    </row>
    <row r="214" spans="1:151" ht="13.35" customHeight="1" x14ac:dyDescent="0.2">
      <c r="A214" s="174">
        <v>68</v>
      </c>
      <c r="B214" s="174">
        <f t="shared" si="32"/>
        <v>85</v>
      </c>
      <c r="E214" s="207"/>
      <c r="F214" s="174" t="str">
        <f>HLOOKUP(Stats!$B$5,$F$176:$DE$198,13,0)</f>
        <v>Nessa</v>
      </c>
    </row>
    <row r="215" spans="1:151" ht="13.35" customHeight="1" x14ac:dyDescent="0.2">
      <c r="A215" s="174">
        <v>69</v>
      </c>
      <c r="B215" s="174">
        <f t="shared" si="32"/>
        <v>86</v>
      </c>
      <c r="E215" s="207"/>
      <c r="F215" s="174" t="str">
        <f>HLOOKUP(Stats!$B$5,$F$176:$DE$198,14,0)</f>
        <v>Nienna</v>
      </c>
    </row>
    <row r="216" spans="1:151" ht="13.35" customHeight="1" x14ac:dyDescent="0.2">
      <c r="A216" s="174">
        <v>70</v>
      </c>
      <c r="B216" s="174">
        <f t="shared" si="32"/>
        <v>87</v>
      </c>
      <c r="E216" s="207"/>
      <c r="F216" s="174" t="str">
        <f>HLOOKUP(Stats!$B$5,$F$176:$DE$198,15,0)</f>
        <v>Oromë</v>
      </c>
    </row>
    <row r="217" spans="1:151" ht="13.35" customHeight="1" x14ac:dyDescent="0.2">
      <c r="A217" s="174">
        <v>71</v>
      </c>
      <c r="B217" s="174">
        <f t="shared" si="32"/>
        <v>88</v>
      </c>
      <c r="E217" s="207"/>
      <c r="F217" s="174" t="str">
        <f>HLOOKUP(Stats!$B$5,$F$176:$DE$198,16,0)</f>
        <v>Ossë</v>
      </c>
    </row>
    <row r="218" spans="1:151" ht="13.35" customHeight="1" x14ac:dyDescent="0.2">
      <c r="A218" s="174">
        <v>72</v>
      </c>
      <c r="B218" s="174">
        <f t="shared" si="32"/>
        <v>89</v>
      </c>
      <c r="E218" s="207"/>
      <c r="F218" s="174" t="str">
        <f>HLOOKUP(Stats!$B$5,$F$176:$DE$198,17,0)</f>
        <v>Tilion</v>
      </c>
    </row>
    <row r="219" spans="1:151" ht="13.35" customHeight="1" x14ac:dyDescent="0.2">
      <c r="A219" s="174">
        <v>73</v>
      </c>
      <c r="B219" s="174">
        <f t="shared" si="32"/>
        <v>90</v>
      </c>
      <c r="E219" s="207"/>
      <c r="F219" s="174" t="str">
        <f>HLOOKUP(Stats!$B$5,$F$176:$DE$198,18,0)</f>
        <v>Tulkas</v>
      </c>
    </row>
    <row r="220" spans="1:151" ht="13.35" customHeight="1" x14ac:dyDescent="0.2">
      <c r="A220" s="174">
        <v>74</v>
      </c>
      <c r="B220" s="174">
        <f t="shared" si="32"/>
        <v>91</v>
      </c>
      <c r="E220" s="207"/>
      <c r="F220" s="174" t="str">
        <f>HLOOKUP(Stats!$B$5,$F$176:$DE$198,19,0)</f>
        <v>Ulmo</v>
      </c>
    </row>
    <row r="221" spans="1:151" ht="13.35" customHeight="1" x14ac:dyDescent="0.2">
      <c r="A221" s="174">
        <v>75</v>
      </c>
      <c r="B221" s="174">
        <f t="shared" ref="B221:B230" si="33">A221+11</f>
        <v>86</v>
      </c>
      <c r="E221" s="207"/>
      <c r="F221" s="174" t="str">
        <f>HLOOKUP(Stats!$B$5,$F$176:$DE$198,20,0)</f>
        <v>Vairë</v>
      </c>
    </row>
    <row r="222" spans="1:151" ht="13.35" customHeight="1" x14ac:dyDescent="0.2">
      <c r="A222" s="174">
        <v>76</v>
      </c>
      <c r="B222" s="174">
        <f t="shared" si="33"/>
        <v>87</v>
      </c>
      <c r="E222" s="207"/>
      <c r="F222" s="174" t="str">
        <f>HLOOKUP(Stats!$B$5,$F$176:$DE$198,21,0)</f>
        <v>Vána</v>
      </c>
    </row>
    <row r="223" spans="1:151" ht="13.35" customHeight="1" x14ac:dyDescent="0.2">
      <c r="A223" s="174">
        <v>77</v>
      </c>
      <c r="B223" s="174">
        <f t="shared" si="33"/>
        <v>88</v>
      </c>
      <c r="E223" s="207"/>
      <c r="F223" s="174" t="str">
        <f>HLOOKUP(Stats!$B$5,$F$176:$DE$198,22,0)</f>
        <v>Varda</v>
      </c>
    </row>
    <row r="224" spans="1:151" ht="13.35" customHeight="1" x14ac:dyDescent="0.2">
      <c r="A224" s="174">
        <v>78</v>
      </c>
      <c r="B224" s="174">
        <f t="shared" si="33"/>
        <v>89</v>
      </c>
      <c r="E224" s="207"/>
      <c r="F224" s="174" t="str">
        <f>HLOOKUP(Stats!$B$5,$F$176:$DE$198,23,0)</f>
        <v>Yavanna</v>
      </c>
    </row>
    <row r="225" spans="1:5" ht="13.35" customHeight="1" x14ac:dyDescent="0.2">
      <c r="A225" s="174">
        <v>79</v>
      </c>
      <c r="B225" s="174">
        <f t="shared" si="33"/>
        <v>90</v>
      </c>
      <c r="E225" s="207"/>
    </row>
    <row r="226" spans="1:5" ht="13.35" customHeight="1" x14ac:dyDescent="0.2">
      <c r="A226" s="174">
        <v>80</v>
      </c>
      <c r="B226" s="174">
        <f t="shared" si="33"/>
        <v>91</v>
      </c>
      <c r="E226" s="207"/>
    </row>
    <row r="227" spans="1:5" ht="13.35" customHeight="1" x14ac:dyDescent="0.2">
      <c r="A227" s="174">
        <v>81</v>
      </c>
      <c r="B227" s="174">
        <f t="shared" si="33"/>
        <v>92</v>
      </c>
      <c r="E227" s="207"/>
    </row>
    <row r="228" spans="1:5" ht="13.35" customHeight="1" x14ac:dyDescent="0.2">
      <c r="A228" s="174">
        <v>82</v>
      </c>
      <c r="B228" s="174">
        <f t="shared" si="33"/>
        <v>93</v>
      </c>
      <c r="E228" s="207"/>
    </row>
    <row r="229" spans="1:5" ht="13.35" customHeight="1" x14ac:dyDescent="0.2">
      <c r="A229" s="174">
        <v>83</v>
      </c>
      <c r="B229" s="174">
        <f t="shared" si="33"/>
        <v>94</v>
      </c>
      <c r="E229" s="207"/>
    </row>
    <row r="230" spans="1:5" ht="13.35" customHeight="1" x14ac:dyDescent="0.2">
      <c r="A230" s="174">
        <v>84</v>
      </c>
      <c r="B230" s="174">
        <f t="shared" si="33"/>
        <v>95</v>
      </c>
      <c r="E230" s="207"/>
    </row>
    <row r="231" spans="1:5" ht="13.35" customHeight="1" x14ac:dyDescent="0.2">
      <c r="A231" s="174">
        <v>85</v>
      </c>
      <c r="B231" s="174">
        <f t="shared" ref="B231:B237" si="34">A231+6</f>
        <v>91</v>
      </c>
      <c r="E231" s="207"/>
    </row>
    <row r="232" spans="1:5" ht="13.35" customHeight="1" x14ac:dyDescent="0.2">
      <c r="A232" s="174">
        <v>86</v>
      </c>
      <c r="B232" s="174">
        <f t="shared" si="34"/>
        <v>92</v>
      </c>
      <c r="E232" s="207"/>
    </row>
    <row r="233" spans="1:5" ht="13.35" customHeight="1" x14ac:dyDescent="0.2">
      <c r="A233" s="174">
        <v>87</v>
      </c>
      <c r="B233" s="174">
        <f t="shared" si="34"/>
        <v>93</v>
      </c>
      <c r="E233" s="207"/>
    </row>
    <row r="234" spans="1:5" ht="13.35" customHeight="1" x14ac:dyDescent="0.2">
      <c r="A234" s="174">
        <v>88</v>
      </c>
      <c r="B234" s="174">
        <f t="shared" si="34"/>
        <v>94</v>
      </c>
      <c r="E234" s="207"/>
    </row>
    <row r="235" spans="1:5" ht="13.35" customHeight="1" x14ac:dyDescent="0.2">
      <c r="A235" s="174">
        <v>89</v>
      </c>
      <c r="B235" s="174">
        <f t="shared" si="34"/>
        <v>95</v>
      </c>
      <c r="E235" s="207"/>
    </row>
    <row r="236" spans="1:5" ht="13.35" customHeight="1" x14ac:dyDescent="0.2">
      <c r="A236" s="174">
        <v>90</v>
      </c>
      <c r="B236" s="174">
        <f t="shared" si="34"/>
        <v>96</v>
      </c>
      <c r="E236" s="207"/>
    </row>
    <row r="237" spans="1:5" ht="13.35" customHeight="1" x14ac:dyDescent="0.2">
      <c r="A237" s="174">
        <v>91</v>
      </c>
      <c r="B237" s="174">
        <f t="shared" si="34"/>
        <v>97</v>
      </c>
      <c r="E237" s="207"/>
    </row>
    <row r="238" spans="1:5" ht="13.35" customHeight="1" x14ac:dyDescent="0.2">
      <c r="A238" s="174">
        <v>92</v>
      </c>
      <c r="B238" s="174">
        <f>A238+5</f>
        <v>97</v>
      </c>
      <c r="E238" s="207"/>
    </row>
    <row r="239" spans="1:5" ht="13.35" customHeight="1" x14ac:dyDescent="0.2">
      <c r="A239" s="174">
        <v>93</v>
      </c>
      <c r="B239" s="174">
        <f>A239+4</f>
        <v>97</v>
      </c>
      <c r="E239" s="207"/>
    </row>
    <row r="240" spans="1:5" ht="13.35" customHeight="1" x14ac:dyDescent="0.2">
      <c r="A240" s="174">
        <v>94</v>
      </c>
      <c r="B240" s="174">
        <f>A240+4</f>
        <v>98</v>
      </c>
      <c r="E240" s="207"/>
    </row>
    <row r="241" spans="1:108" ht="13.35" customHeight="1" x14ac:dyDescent="0.2">
      <c r="A241" s="174">
        <v>95</v>
      </c>
      <c r="B241" s="174">
        <f>A241+3</f>
        <v>98</v>
      </c>
      <c r="E241" s="207"/>
    </row>
    <row r="242" spans="1:108" ht="13.35" customHeight="1" x14ac:dyDescent="0.2">
      <c r="A242" s="174">
        <v>96</v>
      </c>
      <c r="B242" s="174">
        <f>A242+3</f>
        <v>99</v>
      </c>
      <c r="E242" s="207"/>
    </row>
    <row r="243" spans="1:108" ht="13.35" customHeight="1" x14ac:dyDescent="0.2">
      <c r="A243" s="174">
        <v>97</v>
      </c>
      <c r="B243" s="174">
        <f>A243+2</f>
        <v>99</v>
      </c>
      <c r="E243" s="207"/>
    </row>
    <row r="244" spans="1:108" ht="13.35" customHeight="1" x14ac:dyDescent="0.2">
      <c r="A244" s="174">
        <v>98</v>
      </c>
      <c r="B244" s="174">
        <f>A244+2</f>
        <v>100</v>
      </c>
      <c r="E244" s="207"/>
    </row>
    <row r="245" spans="1:108" ht="13.35" customHeight="1" x14ac:dyDescent="0.2">
      <c r="A245" s="174">
        <v>99</v>
      </c>
      <c r="B245" s="174">
        <f>A245+1</f>
        <v>100</v>
      </c>
      <c r="E245" s="207"/>
    </row>
    <row r="246" spans="1:108" ht="13.35" customHeight="1" x14ac:dyDescent="0.2">
      <c r="A246" s="174">
        <v>100</v>
      </c>
      <c r="B246" s="174">
        <f>A246+1</f>
        <v>101</v>
      </c>
      <c r="E246" s="207"/>
    </row>
    <row r="247" spans="1:108" ht="13.35" customHeight="1" x14ac:dyDescent="0.2">
      <c r="A247" s="174">
        <v>101</v>
      </c>
      <c r="B247" s="174">
        <f>A247+1</f>
        <v>102</v>
      </c>
      <c r="E247" s="207"/>
    </row>
    <row r="248" spans="1:108" ht="13.35" customHeight="1" x14ac:dyDescent="0.2">
      <c r="A248" s="174">
        <v>102</v>
      </c>
      <c r="B248" s="174">
        <v>102</v>
      </c>
      <c r="E248" s="207"/>
    </row>
    <row r="249" spans="1:108" ht="13.35" customHeight="1" x14ac:dyDescent="0.2">
      <c r="E249" s="207"/>
    </row>
    <row r="250" spans="1:108" ht="13.35" customHeight="1" x14ac:dyDescent="0.2">
      <c r="E250" s="207"/>
    </row>
    <row r="251" spans="1:108" ht="13.35" customHeight="1" x14ac:dyDescent="0.2">
      <c r="A251" s="174" t="s">
        <v>1958</v>
      </c>
      <c r="E251" s="207" t="s">
        <v>1959</v>
      </c>
      <c r="F251" s="174">
        <v>29</v>
      </c>
      <c r="G251" s="174">
        <v>29</v>
      </c>
      <c r="H251" s="174">
        <v>29</v>
      </c>
      <c r="I251" s="174">
        <v>29</v>
      </c>
      <c r="J251" s="174">
        <v>29</v>
      </c>
      <c r="K251" s="174">
        <v>31</v>
      </c>
      <c r="L251" s="174">
        <v>31</v>
      </c>
      <c r="M251" s="174">
        <v>31</v>
      </c>
      <c r="N251" s="174">
        <v>31</v>
      </c>
      <c r="O251" s="174">
        <v>31</v>
      </c>
      <c r="P251" s="174">
        <v>31</v>
      </c>
      <c r="Q251" s="174">
        <v>31</v>
      </c>
      <c r="R251" s="174">
        <v>31</v>
      </c>
      <c r="S251" s="174">
        <v>31</v>
      </c>
      <c r="T251" s="174">
        <v>29</v>
      </c>
      <c r="U251" s="174">
        <v>29</v>
      </c>
      <c r="V251" s="174">
        <v>29</v>
      </c>
      <c r="W251" s="174">
        <v>29</v>
      </c>
      <c r="X251" s="174">
        <v>29</v>
      </c>
      <c r="Y251" s="174">
        <v>29</v>
      </c>
      <c r="AA251" s="174">
        <v>31</v>
      </c>
      <c r="AB251" s="174">
        <v>31</v>
      </c>
      <c r="AC251" s="174">
        <v>31</v>
      </c>
      <c r="AD251" s="174">
        <v>31</v>
      </c>
      <c r="AF251" s="174">
        <v>31</v>
      </c>
      <c r="AG251" s="174">
        <v>31</v>
      </c>
      <c r="AH251" s="174">
        <v>31</v>
      </c>
      <c r="AJ251" s="174">
        <v>29</v>
      </c>
      <c r="AK251" s="174">
        <v>29</v>
      </c>
      <c r="AL251" s="174">
        <v>31</v>
      </c>
      <c r="AM251" s="174">
        <v>31</v>
      </c>
      <c r="CX251" s="174">
        <v>31</v>
      </c>
      <c r="CY251" s="174">
        <v>31</v>
      </c>
      <c r="CZ251" s="174">
        <v>31</v>
      </c>
      <c r="DA251" s="174">
        <v>31</v>
      </c>
      <c r="DB251" s="174">
        <v>29</v>
      </c>
      <c r="DC251" s="174">
        <v>29</v>
      </c>
      <c r="DD251" s="174">
        <v>29</v>
      </c>
    </row>
    <row r="252" spans="1:108" ht="13.35" customHeight="1" x14ac:dyDescent="0.2">
      <c r="A252" s="174" t="s">
        <v>1960</v>
      </c>
      <c r="B252" s="174" t="s">
        <v>1961</v>
      </c>
      <c r="C252" s="220" t="s">
        <v>1962</v>
      </c>
      <c r="D252" s="220"/>
      <c r="E252" s="207" t="s">
        <v>398</v>
      </c>
      <c r="F252" s="174">
        <v>25</v>
      </c>
      <c r="G252" s="174">
        <v>25</v>
      </c>
      <c r="H252" s="174">
        <v>25</v>
      </c>
      <c r="I252" s="174">
        <v>25</v>
      </c>
      <c r="J252" s="174">
        <v>25</v>
      </c>
      <c r="K252" s="174">
        <v>28</v>
      </c>
      <c r="L252" s="174">
        <v>27</v>
      </c>
      <c r="M252" s="174">
        <v>26</v>
      </c>
      <c r="N252" s="174">
        <v>26</v>
      </c>
      <c r="O252" s="174">
        <v>25</v>
      </c>
      <c r="P252" s="174">
        <v>25</v>
      </c>
      <c r="Q252" s="174">
        <v>26</v>
      </c>
      <c r="R252" s="174">
        <v>23</v>
      </c>
      <c r="S252" s="174">
        <v>28</v>
      </c>
      <c r="T252" s="174">
        <v>26</v>
      </c>
      <c r="U252" s="174">
        <v>23</v>
      </c>
      <c r="V252" s="174">
        <v>25</v>
      </c>
      <c r="W252" s="174">
        <v>25</v>
      </c>
      <c r="X252" s="174">
        <v>20</v>
      </c>
      <c r="Y252" s="174">
        <v>20</v>
      </c>
      <c r="AA252" s="174">
        <v>30</v>
      </c>
      <c r="AB252" s="174">
        <v>30</v>
      </c>
      <c r="AC252" s="174">
        <v>29</v>
      </c>
      <c r="AD252" s="174">
        <v>29</v>
      </c>
      <c r="AJ252" s="174">
        <v>26</v>
      </c>
      <c r="AK252" s="174">
        <v>28</v>
      </c>
      <c r="AL252" s="174">
        <v>28</v>
      </c>
      <c r="AM252" s="174">
        <v>30</v>
      </c>
      <c r="AO252" s="174">
        <v>31</v>
      </c>
      <c r="AP252" s="174">
        <v>29</v>
      </c>
      <c r="AQ252" s="174">
        <v>26</v>
      </c>
      <c r="AS252" s="174">
        <v>30</v>
      </c>
      <c r="AT252" s="174">
        <v>30</v>
      </c>
      <c r="AU252" s="174">
        <v>30</v>
      </c>
      <c r="AV252" s="174">
        <v>30</v>
      </c>
      <c r="AW252" s="174">
        <v>30</v>
      </c>
      <c r="AY252" s="174">
        <v>30</v>
      </c>
      <c r="BB252" s="174">
        <v>30</v>
      </c>
      <c r="BC252" s="174">
        <v>30</v>
      </c>
      <c r="BD252" s="174">
        <v>30</v>
      </c>
      <c r="BF252" s="174">
        <v>30</v>
      </c>
      <c r="BG252" s="174">
        <v>30</v>
      </c>
      <c r="BH252" s="174">
        <v>30</v>
      </c>
      <c r="BI252" s="174">
        <v>30</v>
      </c>
      <c r="BJ252" s="174">
        <v>30</v>
      </c>
      <c r="BL252" s="174">
        <v>30</v>
      </c>
      <c r="BM252" s="174">
        <v>30</v>
      </c>
      <c r="BN252" s="174">
        <v>30</v>
      </c>
      <c r="BO252" s="174">
        <v>30</v>
      </c>
      <c r="BQ252" s="174">
        <v>30</v>
      </c>
      <c r="BR252" s="174">
        <v>30</v>
      </c>
      <c r="BS252" s="174">
        <v>30</v>
      </c>
      <c r="BU252" s="174">
        <v>30</v>
      </c>
      <c r="BV252" s="174">
        <v>30</v>
      </c>
      <c r="BW252" s="174">
        <v>30</v>
      </c>
      <c r="BX252" s="174">
        <v>30</v>
      </c>
      <c r="BY252" s="174">
        <v>30</v>
      </c>
      <c r="BZ252" s="174">
        <v>30</v>
      </c>
      <c r="CA252" s="174">
        <v>30</v>
      </c>
      <c r="CB252" s="174">
        <v>30</v>
      </c>
      <c r="CI252" s="174">
        <v>30</v>
      </c>
      <c r="CJ252" s="174">
        <v>30</v>
      </c>
      <c r="CK252" s="174">
        <v>30</v>
      </c>
      <c r="CO252" s="174">
        <v>30</v>
      </c>
      <c r="DB252" s="174">
        <v>27</v>
      </c>
      <c r="DC252" s="174">
        <v>28</v>
      </c>
      <c r="DD252" s="174">
        <v>28</v>
      </c>
    </row>
    <row r="253" spans="1:108" ht="13.35" customHeight="1" x14ac:dyDescent="0.2">
      <c r="A253" s="174" t="s">
        <v>1963</v>
      </c>
      <c r="B253" s="174" t="s">
        <v>1964</v>
      </c>
      <c r="C253" s="220" t="s">
        <v>1965</v>
      </c>
      <c r="D253" s="220" t="s">
        <v>1966</v>
      </c>
      <c r="E253" s="207"/>
    </row>
    <row r="254" spans="1:108" ht="13.35" customHeight="1" x14ac:dyDescent="0.2">
      <c r="A254" s="174" t="s">
        <v>1967</v>
      </c>
      <c r="B254" s="174" t="s">
        <v>1968</v>
      </c>
      <c r="C254" s="220" t="s">
        <v>1969</v>
      </c>
      <c r="D254" s="220" t="s">
        <v>1970</v>
      </c>
    </row>
    <row r="255" spans="1:108" ht="13.35" customHeight="1" x14ac:dyDescent="0.2">
      <c r="A255" s="174" t="s">
        <v>1971</v>
      </c>
      <c r="B255" s="174" t="s">
        <v>1972</v>
      </c>
      <c r="C255" s="220" t="s">
        <v>1973</v>
      </c>
      <c r="D255" s="220" t="s">
        <v>1974</v>
      </c>
    </row>
    <row r="256" spans="1:108" ht="13.35" customHeight="1" x14ac:dyDescent="0.2">
      <c r="A256" s="174" t="s">
        <v>1975</v>
      </c>
      <c r="B256" s="174" t="s">
        <v>1976</v>
      </c>
      <c r="C256" s="220" t="s">
        <v>1977</v>
      </c>
      <c r="D256" s="220" t="s">
        <v>1978</v>
      </c>
      <c r="F256" s="174">
        <v>2</v>
      </c>
      <c r="G256" s="174">
        <v>3</v>
      </c>
      <c r="H256" s="174">
        <v>4</v>
      </c>
      <c r="I256" s="174">
        <v>5</v>
      </c>
      <c r="J256" s="174">
        <v>6</v>
      </c>
      <c r="K256" s="174">
        <v>7</v>
      </c>
      <c r="L256" s="174">
        <v>8</v>
      </c>
      <c r="M256" s="174">
        <v>9</v>
      </c>
      <c r="N256" s="174">
        <v>10</v>
      </c>
      <c r="O256" s="174">
        <v>11</v>
      </c>
      <c r="P256" s="174">
        <v>12</v>
      </c>
      <c r="Q256" s="174">
        <v>13</v>
      </c>
      <c r="R256" s="174">
        <v>14</v>
      </c>
      <c r="S256" s="174">
        <v>15</v>
      </c>
      <c r="T256" s="174">
        <v>16</v>
      </c>
      <c r="U256" s="174">
        <v>17</v>
      </c>
      <c r="V256" s="174">
        <v>18</v>
      </c>
      <c r="W256" s="174">
        <v>19</v>
      </c>
      <c r="X256" s="174">
        <v>20</v>
      </c>
      <c r="Y256" s="174">
        <v>21</v>
      </c>
      <c r="Z256" s="174">
        <v>22</v>
      </c>
      <c r="AA256" s="174">
        <v>23</v>
      </c>
      <c r="AB256" s="174">
        <v>24</v>
      </c>
      <c r="AC256" s="174">
        <v>25</v>
      </c>
      <c r="AD256" s="174">
        <v>26</v>
      </c>
      <c r="AE256" s="174">
        <v>27</v>
      </c>
      <c r="AF256" s="174">
        <v>28</v>
      </c>
      <c r="AG256" s="174">
        <v>29</v>
      </c>
      <c r="AH256" s="174">
        <v>30</v>
      </c>
      <c r="AI256" s="174">
        <v>31</v>
      </c>
      <c r="AJ256" s="174">
        <v>32</v>
      </c>
      <c r="AK256" s="174">
        <v>33</v>
      </c>
      <c r="AL256" s="174">
        <v>34</v>
      </c>
      <c r="AM256" s="174">
        <v>35</v>
      </c>
      <c r="AN256" s="174">
        <v>36</v>
      </c>
      <c r="AO256" s="174">
        <v>37</v>
      </c>
      <c r="AP256" s="174">
        <v>38</v>
      </c>
      <c r="AQ256" s="174">
        <v>39</v>
      </c>
      <c r="AR256" s="174">
        <v>40</v>
      </c>
      <c r="AS256" s="174">
        <v>41</v>
      </c>
      <c r="AT256" s="174">
        <v>42</v>
      </c>
      <c r="AU256" s="174">
        <v>43</v>
      </c>
      <c r="AV256" s="174">
        <v>44</v>
      </c>
      <c r="AW256" s="174">
        <v>45</v>
      </c>
    </row>
    <row r="257" spans="1:49" ht="13.35" customHeight="1" x14ac:dyDescent="0.2">
      <c r="A257" s="174" t="s">
        <v>1979</v>
      </c>
      <c r="B257" s="174" t="s">
        <v>201</v>
      </c>
      <c r="C257" s="220" t="s">
        <v>1980</v>
      </c>
      <c r="D257" s="220" t="s">
        <v>1981</v>
      </c>
      <c r="E257" s="221" t="s">
        <v>1982</v>
      </c>
      <c r="F257" s="174" t="s">
        <v>1983</v>
      </c>
      <c r="G257" s="174" t="s">
        <v>1984</v>
      </c>
      <c r="H257" s="174" t="s">
        <v>1985</v>
      </c>
      <c r="I257" s="174" t="s">
        <v>1986</v>
      </c>
      <c r="J257" s="174" t="s">
        <v>1987</v>
      </c>
      <c r="K257" s="174" t="s">
        <v>1988</v>
      </c>
      <c r="L257" s="174" t="s">
        <v>1989</v>
      </c>
      <c r="M257" s="174" t="s">
        <v>1990</v>
      </c>
      <c r="N257" s="174" t="s">
        <v>1991</v>
      </c>
      <c r="O257" s="174" t="s">
        <v>1992</v>
      </c>
      <c r="P257" s="174" t="s">
        <v>1993</v>
      </c>
      <c r="Q257" s="174" t="s">
        <v>1994</v>
      </c>
      <c r="R257" s="174" t="s">
        <v>1995</v>
      </c>
      <c r="S257" s="174" t="s">
        <v>1996</v>
      </c>
      <c r="T257" s="174" t="s">
        <v>1997</v>
      </c>
      <c r="U257" s="174" t="s">
        <v>1998</v>
      </c>
      <c r="V257" s="174" t="s">
        <v>1999</v>
      </c>
      <c r="W257" s="174" t="s">
        <v>2000</v>
      </c>
      <c r="X257" s="174" t="s">
        <v>2001</v>
      </c>
      <c r="Y257" s="174" t="s">
        <v>2002</v>
      </c>
      <c r="Z257" s="174" t="s">
        <v>2002</v>
      </c>
      <c r="AA257" s="174" t="s">
        <v>2002</v>
      </c>
      <c r="AB257" s="174" t="s">
        <v>2002</v>
      </c>
      <c r="AC257" s="174" t="s">
        <v>2002</v>
      </c>
      <c r="AD257" s="174" t="s">
        <v>2002</v>
      </c>
      <c r="AE257" s="174" t="s">
        <v>2002</v>
      </c>
      <c r="AF257" s="174" t="s">
        <v>2002</v>
      </c>
      <c r="AG257" s="174" t="s">
        <v>2002</v>
      </c>
      <c r="AH257" s="174" t="s">
        <v>2002</v>
      </c>
      <c r="AI257" s="174" t="s">
        <v>2002</v>
      </c>
      <c r="AJ257" s="174" t="s">
        <v>2002</v>
      </c>
      <c r="AK257" s="174" t="s">
        <v>2002</v>
      </c>
      <c r="AL257" s="174" t="s">
        <v>2002</v>
      </c>
      <c r="AM257" s="174" t="s">
        <v>2002</v>
      </c>
      <c r="AN257" s="174" t="s">
        <v>2002</v>
      </c>
      <c r="AO257" s="174" t="s">
        <v>2002</v>
      </c>
      <c r="AP257" s="174" t="s">
        <v>2002</v>
      </c>
      <c r="AQ257" s="174" t="s">
        <v>2002</v>
      </c>
      <c r="AR257" s="174" t="s">
        <v>2002</v>
      </c>
      <c r="AU257" s="174" t="s">
        <v>2003</v>
      </c>
      <c r="AV257" s="174" t="s">
        <v>468</v>
      </c>
      <c r="AW257" s="174" t="s">
        <v>470</v>
      </c>
    </row>
    <row r="258" spans="1:49" ht="13.35" customHeight="1" x14ac:dyDescent="0.2">
      <c r="A258" s="174" t="s">
        <v>2004</v>
      </c>
      <c r="B258" s="174" t="s">
        <v>2005</v>
      </c>
      <c r="C258" s="220" t="s">
        <v>2006</v>
      </c>
      <c r="D258" s="220" t="s">
        <v>2007</v>
      </c>
      <c r="E258" s="221" t="s">
        <v>2008</v>
      </c>
    </row>
    <row r="259" spans="1:49" ht="13.35" customHeight="1" x14ac:dyDescent="0.2">
      <c r="A259" s="174" t="s">
        <v>2009</v>
      </c>
      <c r="B259" s="174" t="s">
        <v>2010</v>
      </c>
      <c r="C259" s="220" t="s">
        <v>2011</v>
      </c>
      <c r="D259" s="220" t="s">
        <v>2012</v>
      </c>
      <c r="E259" s="221" t="s">
        <v>397</v>
      </c>
      <c r="F259" s="174">
        <v>24</v>
      </c>
      <c r="G259" s="174" t="s">
        <v>2013</v>
      </c>
      <c r="H259" s="174" t="s">
        <v>2014</v>
      </c>
      <c r="I259" s="174" t="s">
        <v>2015</v>
      </c>
      <c r="J259" s="174" t="s">
        <v>2016</v>
      </c>
      <c r="K259" s="174" t="s">
        <v>2017</v>
      </c>
      <c r="L259" s="174" t="s">
        <v>2018</v>
      </c>
      <c r="Y259" s="174" t="s">
        <v>2019</v>
      </c>
      <c r="Z259" s="174" t="s">
        <v>2020</v>
      </c>
      <c r="AA259" s="174" t="s">
        <v>2021</v>
      </c>
      <c r="AB259" s="174" t="s">
        <v>2022</v>
      </c>
      <c r="AC259" s="174" t="s">
        <v>2023</v>
      </c>
      <c r="AD259" s="174" t="s">
        <v>2024</v>
      </c>
      <c r="AE259" s="174" t="s">
        <v>2025</v>
      </c>
      <c r="AF259" s="174" t="s">
        <v>2026</v>
      </c>
      <c r="AG259" s="174" t="s">
        <v>2027</v>
      </c>
      <c r="AH259" s="174" t="s">
        <v>2028</v>
      </c>
      <c r="AI259" s="174" t="s">
        <v>2029</v>
      </c>
      <c r="AJ259" s="174" t="s">
        <v>2030</v>
      </c>
      <c r="AK259" s="174" t="s">
        <v>2031</v>
      </c>
      <c r="AL259" s="174" t="s">
        <v>2032</v>
      </c>
      <c r="AM259" s="174" t="s">
        <v>2033</v>
      </c>
      <c r="AN259" s="174" t="s">
        <v>2034</v>
      </c>
      <c r="AU259" s="174" t="s">
        <v>248</v>
      </c>
      <c r="AV259" s="174" t="s">
        <v>248</v>
      </c>
      <c r="AW259" s="174" t="s">
        <v>2035</v>
      </c>
    </row>
    <row r="260" spans="1:49" ht="13.35" customHeight="1" x14ac:dyDescent="0.2">
      <c r="A260" s="174" t="s">
        <v>2036</v>
      </c>
      <c r="B260" s="174" t="s">
        <v>2037</v>
      </c>
      <c r="C260" s="220" t="s">
        <v>2038</v>
      </c>
      <c r="D260" s="220" t="s">
        <v>2039</v>
      </c>
      <c r="E260" s="221" t="s">
        <v>2040</v>
      </c>
      <c r="F260" s="174">
        <v>70</v>
      </c>
      <c r="G260" s="174" t="s">
        <v>206</v>
      </c>
      <c r="H260" s="174" t="s">
        <v>2041</v>
      </c>
      <c r="I260" s="174" t="s">
        <v>2042</v>
      </c>
      <c r="J260" s="174" t="s">
        <v>2043</v>
      </c>
      <c r="K260" s="174" t="s">
        <v>2044</v>
      </c>
      <c r="L260" s="174" t="s">
        <v>2045</v>
      </c>
      <c r="Y260" s="174" t="s">
        <v>2046</v>
      </c>
      <c r="Z260" s="174" t="s">
        <v>2047</v>
      </c>
      <c r="AA260" s="174" t="s">
        <v>2048</v>
      </c>
      <c r="AB260" s="174" t="s">
        <v>2049</v>
      </c>
      <c r="AC260" s="174" t="s">
        <v>2050</v>
      </c>
      <c r="AD260" s="174" t="s">
        <v>2032</v>
      </c>
      <c r="AE260" s="174" t="s">
        <v>2051</v>
      </c>
      <c r="AF260" s="174" t="s">
        <v>2052</v>
      </c>
      <c r="AG260" s="174" t="s">
        <v>2053</v>
      </c>
      <c r="AH260" s="174" t="s">
        <v>2054</v>
      </c>
      <c r="AU260" s="174" t="s">
        <v>2055</v>
      </c>
      <c r="AV260" s="174" t="s">
        <v>2056</v>
      </c>
      <c r="AW260" s="174" t="s">
        <v>2057</v>
      </c>
    </row>
    <row r="261" spans="1:49" ht="13.35" customHeight="1" x14ac:dyDescent="0.2">
      <c r="E261" s="221" t="s">
        <v>2058</v>
      </c>
      <c r="F261" s="174">
        <v>102</v>
      </c>
      <c r="G261" s="174" t="s">
        <v>206</v>
      </c>
      <c r="H261" s="174" t="s">
        <v>2059</v>
      </c>
      <c r="I261" s="174" t="s">
        <v>2060</v>
      </c>
      <c r="J261" s="174" t="s">
        <v>2061</v>
      </c>
      <c r="K261" s="174" t="s">
        <v>2062</v>
      </c>
      <c r="L261" s="174" t="s">
        <v>2063</v>
      </c>
      <c r="M261" s="174" t="s">
        <v>2064</v>
      </c>
      <c r="N261" s="174" t="s">
        <v>2065</v>
      </c>
      <c r="O261" s="174" t="s">
        <v>2066</v>
      </c>
      <c r="Y261" s="174" t="s">
        <v>2067</v>
      </c>
      <c r="Z261" s="174" t="s">
        <v>2068</v>
      </c>
      <c r="AA261" s="174" t="s">
        <v>2069</v>
      </c>
      <c r="AB261" s="174" t="s">
        <v>2070</v>
      </c>
      <c r="AC261" s="174" t="s">
        <v>2071</v>
      </c>
      <c r="AD261" s="174" t="s">
        <v>2072</v>
      </c>
      <c r="AE261" s="174" t="s">
        <v>2073</v>
      </c>
      <c r="AF261" s="174" t="s">
        <v>2074</v>
      </c>
      <c r="AG261" s="174" t="s">
        <v>2029</v>
      </c>
      <c r="AH261" s="174" t="s">
        <v>2075</v>
      </c>
      <c r="AI261" s="174" t="s">
        <v>2076</v>
      </c>
      <c r="AJ261" s="174" t="s">
        <v>2077</v>
      </c>
      <c r="AK261" s="174" t="s">
        <v>2078</v>
      </c>
      <c r="AL261" s="174" t="s">
        <v>2079</v>
      </c>
      <c r="AU261" s="174" t="s">
        <v>248</v>
      </c>
      <c r="AV261" s="174" t="s">
        <v>248</v>
      </c>
      <c r="AW261" s="174" t="s">
        <v>233</v>
      </c>
    </row>
    <row r="262" spans="1:49" ht="13.35" customHeight="1" x14ac:dyDescent="0.2">
      <c r="E262" s="221" t="s">
        <v>2080</v>
      </c>
      <c r="F262" s="174">
        <v>37</v>
      </c>
      <c r="G262" s="174" t="s">
        <v>206</v>
      </c>
      <c r="H262" s="174" t="s">
        <v>2081</v>
      </c>
      <c r="I262" s="174" t="s">
        <v>2082</v>
      </c>
      <c r="J262" s="174" t="s">
        <v>2083</v>
      </c>
      <c r="K262" s="174" t="s">
        <v>2084</v>
      </c>
      <c r="L262" s="174" t="s">
        <v>2085</v>
      </c>
      <c r="M262" s="174" t="s">
        <v>2086</v>
      </c>
      <c r="N262" s="174" t="s">
        <v>2087</v>
      </c>
      <c r="O262" s="174" t="s">
        <v>2088</v>
      </c>
      <c r="P262" s="174" t="s">
        <v>2089</v>
      </c>
      <c r="Q262" s="174" t="s">
        <v>2090</v>
      </c>
      <c r="R262" s="174" t="s">
        <v>2091</v>
      </c>
      <c r="S262" s="174" t="s">
        <v>2092</v>
      </c>
      <c r="T262" s="174" t="s">
        <v>2093</v>
      </c>
      <c r="U262" s="174" t="s">
        <v>2094</v>
      </c>
      <c r="Y262" s="174" t="s">
        <v>2095</v>
      </c>
      <c r="Z262" s="174" t="s">
        <v>2096</v>
      </c>
      <c r="AA262" s="174" t="s">
        <v>2097</v>
      </c>
      <c r="AB262" s="174" t="s">
        <v>2098</v>
      </c>
      <c r="AC262" s="174" t="s">
        <v>2099</v>
      </c>
      <c r="AD262" s="174" t="s">
        <v>2100</v>
      </c>
      <c r="AE262" s="174" t="s">
        <v>2101</v>
      </c>
      <c r="AF262" s="174" t="s">
        <v>2102</v>
      </c>
      <c r="AG262" s="174" t="s">
        <v>2103</v>
      </c>
      <c r="AU262" s="174" t="s">
        <v>2104</v>
      </c>
      <c r="AV262" s="174" t="s">
        <v>1177</v>
      </c>
      <c r="AW262" s="174" t="s">
        <v>248</v>
      </c>
    </row>
    <row r="263" spans="1:49" ht="13.35" customHeight="1" x14ac:dyDescent="0.2">
      <c r="E263" s="221" t="s">
        <v>2105</v>
      </c>
      <c r="F263" s="174">
        <v>164</v>
      </c>
      <c r="G263" s="174" t="s">
        <v>206</v>
      </c>
      <c r="H263" s="174" t="s">
        <v>2106</v>
      </c>
      <c r="I263" s="174" t="s">
        <v>2107</v>
      </c>
      <c r="J263" s="174" t="s">
        <v>2108</v>
      </c>
      <c r="K263" s="174" t="s">
        <v>2109</v>
      </c>
      <c r="L263" s="174" t="s">
        <v>2110</v>
      </c>
      <c r="M263" s="174" t="s">
        <v>2111</v>
      </c>
      <c r="N263" s="174" t="s">
        <v>2112</v>
      </c>
      <c r="Y263" s="174" t="s">
        <v>2113</v>
      </c>
      <c r="Z263" s="174" t="s">
        <v>2114</v>
      </c>
      <c r="AA263" s="174" t="s">
        <v>2115</v>
      </c>
      <c r="AB263" s="174" t="s">
        <v>2116</v>
      </c>
      <c r="AC263" s="174" t="s">
        <v>2117</v>
      </c>
      <c r="AD263" s="174" t="s">
        <v>2118</v>
      </c>
      <c r="AE263" s="174" t="s">
        <v>2048</v>
      </c>
      <c r="AF263" s="174" t="s">
        <v>2119</v>
      </c>
      <c r="AG263" s="174" t="s">
        <v>2120</v>
      </c>
      <c r="AH263" s="174" t="s">
        <v>2121</v>
      </c>
      <c r="AI263" s="174" t="s">
        <v>2122</v>
      </c>
      <c r="AJ263" s="174" t="s">
        <v>2123</v>
      </c>
      <c r="AK263" s="174" t="s">
        <v>2124</v>
      </c>
      <c r="AL263" s="174" t="s">
        <v>2125</v>
      </c>
      <c r="AM263" s="174" t="s">
        <v>2126</v>
      </c>
      <c r="AU263" s="174" t="s">
        <v>248</v>
      </c>
      <c r="AV263" s="174" t="s">
        <v>2127</v>
      </c>
      <c r="AW263" s="174" t="s">
        <v>248</v>
      </c>
    </row>
    <row r="264" spans="1:49" ht="13.35" customHeight="1" x14ac:dyDescent="0.2">
      <c r="E264" s="221" t="s">
        <v>2128</v>
      </c>
      <c r="F264" s="174">
        <v>30</v>
      </c>
      <c r="G264" s="174" t="s">
        <v>2013</v>
      </c>
      <c r="H264" s="174" t="s">
        <v>2129</v>
      </c>
      <c r="I264" s="174" t="s">
        <v>2130</v>
      </c>
      <c r="J264" s="174" t="s">
        <v>2131</v>
      </c>
      <c r="K264" s="174" t="s">
        <v>2132</v>
      </c>
      <c r="L264" s="174" t="s">
        <v>2133</v>
      </c>
      <c r="M264" s="174" t="s">
        <v>2133</v>
      </c>
      <c r="N264" s="174" t="s">
        <v>2133</v>
      </c>
      <c r="O264" s="174" t="s">
        <v>2133</v>
      </c>
      <c r="P264" s="174" t="s">
        <v>2134</v>
      </c>
      <c r="Y264" s="174" t="s">
        <v>2077</v>
      </c>
      <c r="Z264" s="174" t="s">
        <v>2068</v>
      </c>
      <c r="AA264" s="174" t="s">
        <v>2135</v>
      </c>
      <c r="AB264" s="174" t="s">
        <v>2049</v>
      </c>
      <c r="AC264" s="174" t="s">
        <v>2021</v>
      </c>
      <c r="AD264" s="174" t="s">
        <v>2022</v>
      </c>
      <c r="AE264" s="174" t="s">
        <v>2136</v>
      </c>
      <c r="AF264" s="174" t="s">
        <v>2137</v>
      </c>
      <c r="AG264" s="174" t="s">
        <v>2138</v>
      </c>
      <c r="AH264" s="174" t="s">
        <v>2139</v>
      </c>
      <c r="AI264" s="174" t="s">
        <v>2140</v>
      </c>
      <c r="AJ264" s="174" t="s">
        <v>2047</v>
      </c>
      <c r="AU264" s="174" t="s">
        <v>248</v>
      </c>
      <c r="AV264" s="174" t="s">
        <v>248</v>
      </c>
      <c r="AW264" s="174" t="s">
        <v>248</v>
      </c>
    </row>
    <row r="265" spans="1:49" ht="13.35" customHeight="1" x14ac:dyDescent="0.2">
      <c r="E265" s="221" t="s">
        <v>2141</v>
      </c>
      <c r="F265" s="174">
        <v>64</v>
      </c>
      <c r="G265" s="174" t="s">
        <v>206</v>
      </c>
      <c r="H265" s="174" t="s">
        <v>2129</v>
      </c>
      <c r="I265" s="174" t="s">
        <v>2142</v>
      </c>
      <c r="J265" s="174" t="s">
        <v>2143</v>
      </c>
      <c r="Y265" s="174" t="s">
        <v>2144</v>
      </c>
      <c r="Z265" s="174" t="s">
        <v>2145</v>
      </c>
      <c r="AA265" s="174" t="s">
        <v>2146</v>
      </c>
      <c r="AB265" s="174" t="s">
        <v>2147</v>
      </c>
      <c r="AC265" s="174" t="s">
        <v>2148</v>
      </c>
      <c r="AD265" s="174" t="s">
        <v>2149</v>
      </c>
      <c r="AE265" s="174" t="s">
        <v>2019</v>
      </c>
      <c r="AF265" s="174" t="s">
        <v>2020</v>
      </c>
      <c r="AU265" s="174" t="s">
        <v>248</v>
      </c>
      <c r="AV265" s="174" t="s">
        <v>248</v>
      </c>
      <c r="AW265" s="174" t="s">
        <v>2150</v>
      </c>
    </row>
    <row r="266" spans="1:49" ht="13.35" customHeight="1" x14ac:dyDescent="0.2">
      <c r="E266" s="221" t="s">
        <v>2151</v>
      </c>
      <c r="F266" s="174">
        <v>33</v>
      </c>
      <c r="G266" s="174" t="s">
        <v>2013</v>
      </c>
      <c r="H266" s="174" t="s">
        <v>2152</v>
      </c>
      <c r="I266" s="174" t="s">
        <v>2153</v>
      </c>
      <c r="J266" s="174" t="s">
        <v>2154</v>
      </c>
      <c r="K266" s="174" t="s">
        <v>2155</v>
      </c>
      <c r="L266" s="174" t="s">
        <v>2156</v>
      </c>
      <c r="M266" s="174" t="s">
        <v>2157</v>
      </c>
      <c r="N266" s="174" t="s">
        <v>2158</v>
      </c>
      <c r="Y266" s="174" t="s">
        <v>2159</v>
      </c>
      <c r="AA266" s="174" t="s">
        <v>2160</v>
      </c>
      <c r="AB266" s="174" t="s">
        <v>2023</v>
      </c>
      <c r="AC266" s="174" t="s">
        <v>2024</v>
      </c>
      <c r="AD266" s="174" t="s">
        <v>2139</v>
      </c>
      <c r="AE266" s="174" t="s">
        <v>2021</v>
      </c>
      <c r="AF266" s="174" t="s">
        <v>2161</v>
      </c>
      <c r="AG266" s="174" t="s">
        <v>2162</v>
      </c>
      <c r="AH266" s="174" t="s">
        <v>2163</v>
      </c>
      <c r="AI266" s="174" t="s">
        <v>2164</v>
      </c>
      <c r="AJ266" s="174" t="s">
        <v>2165</v>
      </c>
      <c r="AK266" s="174" t="s">
        <v>2166</v>
      </c>
      <c r="AU266" s="174" t="s">
        <v>248</v>
      </c>
      <c r="AV266" s="174" t="s">
        <v>248</v>
      </c>
      <c r="AW266" s="174" t="s">
        <v>248</v>
      </c>
    </row>
    <row r="267" spans="1:49" ht="13.35" customHeight="1" x14ac:dyDescent="0.2">
      <c r="E267" s="221" t="s">
        <v>2167</v>
      </c>
      <c r="F267" s="174">
        <v>25</v>
      </c>
      <c r="G267" s="174" t="s">
        <v>2013</v>
      </c>
      <c r="H267" s="174" t="s">
        <v>2168</v>
      </c>
      <c r="I267" s="174" t="s">
        <v>2169</v>
      </c>
      <c r="J267" s="174" t="s">
        <v>2170</v>
      </c>
      <c r="K267" s="174" t="s">
        <v>2171</v>
      </c>
      <c r="L267" s="174" t="s">
        <v>2172</v>
      </c>
      <c r="M267" s="174" t="s">
        <v>2173</v>
      </c>
      <c r="N267" s="174" t="s">
        <v>2174</v>
      </c>
      <c r="Y267" s="174" t="s">
        <v>2175</v>
      </c>
      <c r="Z267" s="174" t="s">
        <v>2047</v>
      </c>
      <c r="AA267" s="174" t="s">
        <v>2019</v>
      </c>
      <c r="AB267" s="174" t="s">
        <v>2020</v>
      </c>
      <c r="AC267" s="174" t="s">
        <v>2176</v>
      </c>
      <c r="AD267" s="174" t="s">
        <v>2177</v>
      </c>
      <c r="AE267" s="174" t="s">
        <v>2178</v>
      </c>
      <c r="AF267" s="174" t="s">
        <v>2030</v>
      </c>
      <c r="AG267" s="174" t="s">
        <v>2117</v>
      </c>
      <c r="AH267" s="174" t="s">
        <v>2164</v>
      </c>
      <c r="AI267" s="174" t="s">
        <v>2179</v>
      </c>
      <c r="AJ267" s="174" t="s">
        <v>2034</v>
      </c>
      <c r="AU267" s="174" t="s">
        <v>248</v>
      </c>
      <c r="AV267" s="174" t="s">
        <v>248</v>
      </c>
      <c r="AW267" s="174" t="s">
        <v>248</v>
      </c>
    </row>
    <row r="268" spans="1:49" ht="13.35" customHeight="1" x14ac:dyDescent="0.2">
      <c r="E268" s="221" t="s">
        <v>2180</v>
      </c>
      <c r="F268" s="174">
        <v>95</v>
      </c>
      <c r="G268" s="174" t="s">
        <v>206</v>
      </c>
      <c r="H268" s="174" t="s">
        <v>2181</v>
      </c>
      <c r="I268" s="174" t="s">
        <v>2182</v>
      </c>
      <c r="J268" s="174" t="s">
        <v>2182</v>
      </c>
      <c r="K268" s="174" t="s">
        <v>2182</v>
      </c>
      <c r="L268" s="174" t="s">
        <v>2182</v>
      </c>
      <c r="M268" s="174" t="s">
        <v>2182</v>
      </c>
      <c r="N268" s="174" t="s">
        <v>2183</v>
      </c>
      <c r="Y268" s="174" t="s">
        <v>2071</v>
      </c>
      <c r="Z268" s="174" t="s">
        <v>2184</v>
      </c>
      <c r="AA268" s="174" t="s">
        <v>2185</v>
      </c>
      <c r="AB268" s="174" t="s">
        <v>2186</v>
      </c>
      <c r="AC268" s="174" t="s">
        <v>2187</v>
      </c>
      <c r="AD268" s="174" t="s">
        <v>2139</v>
      </c>
      <c r="AE268" s="174" t="s">
        <v>2188</v>
      </c>
      <c r="AF268" s="174" t="s">
        <v>2189</v>
      </c>
      <c r="AG268" s="174" t="s">
        <v>2139</v>
      </c>
      <c r="AH268" s="174" t="s">
        <v>2190</v>
      </c>
      <c r="AI268" s="174" t="s">
        <v>2191</v>
      </c>
      <c r="AU268" s="174" t="s">
        <v>248</v>
      </c>
      <c r="AV268" s="174" t="s">
        <v>248</v>
      </c>
      <c r="AW268" s="174" t="s">
        <v>248</v>
      </c>
    </row>
    <row r="269" spans="1:49" ht="13.35" customHeight="1" x14ac:dyDescent="0.2">
      <c r="E269" s="221" t="s">
        <v>2192</v>
      </c>
      <c r="F269" s="174">
        <v>32</v>
      </c>
      <c r="G269" s="174" t="s">
        <v>2013</v>
      </c>
      <c r="H269" s="174" t="s">
        <v>2193</v>
      </c>
      <c r="I269" s="174" t="s">
        <v>2194</v>
      </c>
      <c r="J269" s="174" t="s">
        <v>2195</v>
      </c>
      <c r="K269" s="174" t="s">
        <v>2196</v>
      </c>
      <c r="L269" s="174" t="s">
        <v>2197</v>
      </c>
      <c r="Y269" s="174" t="s">
        <v>2178</v>
      </c>
      <c r="Z269" s="174" t="s">
        <v>2198</v>
      </c>
      <c r="AA269" s="174" t="s">
        <v>2199</v>
      </c>
      <c r="AB269" s="174" t="s">
        <v>2200</v>
      </c>
      <c r="AC269" s="174" t="s">
        <v>2139</v>
      </c>
      <c r="AD269" s="174" t="s">
        <v>2077</v>
      </c>
      <c r="AE269" s="174" t="s">
        <v>2160</v>
      </c>
      <c r="AF269" s="174" t="s">
        <v>2179</v>
      </c>
      <c r="AG269" s="174" t="s">
        <v>2201</v>
      </c>
      <c r="AH269" s="174" t="s">
        <v>2202</v>
      </c>
      <c r="AI269" s="174" t="s">
        <v>2139</v>
      </c>
      <c r="AU269" s="174" t="s">
        <v>248</v>
      </c>
      <c r="AV269" s="174" t="s">
        <v>248</v>
      </c>
      <c r="AW269" s="174" t="s">
        <v>248</v>
      </c>
    </row>
    <row r="270" spans="1:49" ht="13.35" customHeight="1" x14ac:dyDescent="0.2">
      <c r="E270" s="221" t="s">
        <v>2203</v>
      </c>
      <c r="F270" s="174">
        <v>84</v>
      </c>
      <c r="G270" s="174" t="s">
        <v>206</v>
      </c>
      <c r="H270" s="174" t="s">
        <v>2204</v>
      </c>
      <c r="I270" s="174" t="s">
        <v>2205</v>
      </c>
      <c r="J270" s="174" t="s">
        <v>2206</v>
      </c>
      <c r="K270" s="174" t="s">
        <v>2207</v>
      </c>
      <c r="L270" s="174" t="s">
        <v>2208</v>
      </c>
      <c r="Y270" s="174" t="s">
        <v>2046</v>
      </c>
      <c r="Z270" s="174" t="s">
        <v>2209</v>
      </c>
      <c r="AA270" s="174" t="s">
        <v>2139</v>
      </c>
      <c r="AB270" s="174" t="s">
        <v>2210</v>
      </c>
      <c r="AC270" s="174" t="s">
        <v>2211</v>
      </c>
      <c r="AD270" s="174" t="s">
        <v>2212</v>
      </c>
      <c r="AE270" s="174" t="s">
        <v>2160</v>
      </c>
      <c r="AF270" s="174" t="s">
        <v>2213</v>
      </c>
      <c r="AG270" s="174" t="s">
        <v>2214</v>
      </c>
      <c r="AU270" s="174" t="s">
        <v>248</v>
      </c>
      <c r="AV270" s="174" t="s">
        <v>248</v>
      </c>
      <c r="AW270" s="174" t="s">
        <v>223</v>
      </c>
    </row>
    <row r="271" spans="1:49" ht="13.35" customHeight="1" x14ac:dyDescent="0.2">
      <c r="E271" s="221" t="s">
        <v>2215</v>
      </c>
      <c r="F271" s="174">
        <v>28</v>
      </c>
      <c r="G271" s="174" t="s">
        <v>2013</v>
      </c>
      <c r="H271" s="174" t="s">
        <v>2216</v>
      </c>
      <c r="I271" s="174" t="s">
        <v>2217</v>
      </c>
      <c r="J271" s="174" t="s">
        <v>2218</v>
      </c>
      <c r="K271" s="174" t="s">
        <v>2219</v>
      </c>
      <c r="L271" s="174" t="s">
        <v>2220</v>
      </c>
      <c r="M271" s="174" t="s">
        <v>2221</v>
      </c>
      <c r="N271" s="174" t="s">
        <v>2222</v>
      </c>
      <c r="O271" s="174" t="s">
        <v>2223</v>
      </c>
      <c r="Y271" s="174" t="s">
        <v>2224</v>
      </c>
      <c r="Z271" s="174" t="s">
        <v>2186</v>
      </c>
      <c r="AA271" s="174" t="s">
        <v>2225</v>
      </c>
      <c r="AB271" s="174" t="s">
        <v>2068</v>
      </c>
      <c r="AC271" s="174" t="s">
        <v>2226</v>
      </c>
      <c r="AD271" s="174" t="s">
        <v>2186</v>
      </c>
      <c r="AU271" s="174" t="s">
        <v>248</v>
      </c>
      <c r="AV271" s="174" t="s">
        <v>248</v>
      </c>
      <c r="AW271" s="174" t="s">
        <v>248</v>
      </c>
    </row>
    <row r="272" spans="1:49" ht="13.35" customHeight="1" x14ac:dyDescent="0.2">
      <c r="E272" s="221" t="s">
        <v>2227</v>
      </c>
      <c r="F272" s="174">
        <v>110</v>
      </c>
      <c r="G272" s="174" t="s">
        <v>206</v>
      </c>
      <c r="H272" s="174" t="s">
        <v>2014</v>
      </c>
      <c r="I272" s="174" t="s">
        <v>2228</v>
      </c>
      <c r="J272" s="174" t="s">
        <v>2228</v>
      </c>
      <c r="K272" s="174" t="s">
        <v>2229</v>
      </c>
      <c r="L272" s="174" t="s">
        <v>2230</v>
      </c>
      <c r="Y272" s="174" t="s">
        <v>2231</v>
      </c>
      <c r="Z272" s="174" t="s">
        <v>2232</v>
      </c>
      <c r="AA272" s="174" t="s">
        <v>2233</v>
      </c>
      <c r="AB272" s="174" t="s">
        <v>2234</v>
      </c>
      <c r="AC272" s="174" t="s">
        <v>2162</v>
      </c>
      <c r="AD272" s="174" t="s">
        <v>2235</v>
      </c>
      <c r="AE272" s="174" t="s">
        <v>2160</v>
      </c>
      <c r="AF272" s="174" t="s">
        <v>2165</v>
      </c>
      <c r="AG272" s="174" t="s">
        <v>2160</v>
      </c>
      <c r="AH272" s="174" t="s">
        <v>2236</v>
      </c>
      <c r="AI272" s="174" t="s">
        <v>2237</v>
      </c>
      <c r="AJ272" s="174" t="s">
        <v>2238</v>
      </c>
      <c r="AK272" s="174" t="s">
        <v>2139</v>
      </c>
      <c r="AU272" s="174" t="s">
        <v>248</v>
      </c>
      <c r="AV272" s="174" t="s">
        <v>248</v>
      </c>
      <c r="AW272" s="174" t="s">
        <v>248</v>
      </c>
    </row>
    <row r="273" spans="5:49" ht="13.35" customHeight="1" x14ac:dyDescent="0.2">
      <c r="E273" s="221" t="s">
        <v>2239</v>
      </c>
      <c r="F273" s="174">
        <v>37</v>
      </c>
      <c r="G273" s="174" t="s">
        <v>2013</v>
      </c>
      <c r="H273" s="174" t="s">
        <v>2152</v>
      </c>
      <c r="I273" s="174" t="s">
        <v>2153</v>
      </c>
      <c r="J273" s="174" t="s">
        <v>2240</v>
      </c>
      <c r="K273" s="174" t="s">
        <v>2241</v>
      </c>
      <c r="L273" s="174" t="s">
        <v>2242</v>
      </c>
      <c r="M273" s="174" t="s">
        <v>2243</v>
      </c>
      <c r="Y273" s="174" t="s">
        <v>2244</v>
      </c>
      <c r="Z273" s="174" t="s">
        <v>2245</v>
      </c>
      <c r="AA273" s="174" t="s">
        <v>2160</v>
      </c>
      <c r="AB273" s="174" t="s">
        <v>2246</v>
      </c>
      <c r="AC273" s="174" t="s">
        <v>2247</v>
      </c>
      <c r="AD273" s="174" t="s">
        <v>2248</v>
      </c>
      <c r="AE273" s="174" t="s">
        <v>2139</v>
      </c>
      <c r="AF273" s="174" t="s">
        <v>2113</v>
      </c>
      <c r="AG273" s="174" t="s">
        <v>2028</v>
      </c>
      <c r="AH273" s="174" t="s">
        <v>2178</v>
      </c>
      <c r="AI273" s="174" t="s">
        <v>2030</v>
      </c>
      <c r="AU273" s="174" t="s">
        <v>248</v>
      </c>
      <c r="AV273" s="174" t="s">
        <v>248</v>
      </c>
      <c r="AW273" s="174" t="s">
        <v>248</v>
      </c>
    </row>
    <row r="274" spans="5:49" ht="13.35" customHeight="1" x14ac:dyDescent="0.2">
      <c r="E274" s="221" t="s">
        <v>2249</v>
      </c>
      <c r="F274" s="174">
        <v>33</v>
      </c>
      <c r="G274" s="174" t="s">
        <v>206</v>
      </c>
      <c r="H274" s="174" t="s">
        <v>2250</v>
      </c>
      <c r="I274" s="174" t="s">
        <v>2251</v>
      </c>
      <c r="J274" s="174" t="s">
        <v>2252</v>
      </c>
      <c r="K274" s="174" t="s">
        <v>2253</v>
      </c>
      <c r="L274" s="174" t="s">
        <v>2254</v>
      </c>
      <c r="M274" s="174" t="s">
        <v>2243</v>
      </c>
      <c r="Y274" s="174" t="s">
        <v>2113</v>
      </c>
      <c r="Z274" s="174" t="s">
        <v>2255</v>
      </c>
      <c r="AA274" s="174" t="s">
        <v>2256</v>
      </c>
      <c r="AB274" s="174" t="s">
        <v>2257</v>
      </c>
      <c r="AC274" s="174" t="s">
        <v>2258</v>
      </c>
      <c r="AD274" s="174" t="s">
        <v>2139</v>
      </c>
      <c r="AE274" s="174" t="s">
        <v>2259</v>
      </c>
      <c r="AF274" s="174" t="s">
        <v>2139</v>
      </c>
      <c r="AG274" s="174" t="s">
        <v>2202</v>
      </c>
      <c r="AH274" s="174" t="s">
        <v>2139</v>
      </c>
      <c r="AU274" s="174" t="s">
        <v>248</v>
      </c>
      <c r="AV274" s="174" t="s">
        <v>248</v>
      </c>
      <c r="AW274" s="174" t="s">
        <v>248</v>
      </c>
    </row>
    <row r="275" spans="5:49" ht="13.35" customHeight="1" x14ac:dyDescent="0.2">
      <c r="E275" s="221" t="s">
        <v>2260</v>
      </c>
      <c r="F275" s="174">
        <v>48</v>
      </c>
      <c r="G275" s="174" t="s">
        <v>2261</v>
      </c>
      <c r="H275" s="174" t="s">
        <v>2262</v>
      </c>
      <c r="I275" s="174" t="s">
        <v>2263</v>
      </c>
      <c r="J275" s="174" t="s">
        <v>2264</v>
      </c>
      <c r="K275" s="174" t="s">
        <v>2254</v>
      </c>
      <c r="L275" s="174" t="s">
        <v>2265</v>
      </c>
      <c r="M275" s="174" t="s">
        <v>2266</v>
      </c>
      <c r="N275" s="174" t="s">
        <v>2267</v>
      </c>
      <c r="O275" s="174" t="s">
        <v>2268</v>
      </c>
      <c r="Y275" s="174" t="s">
        <v>2269</v>
      </c>
      <c r="Z275" s="174" t="s">
        <v>2270</v>
      </c>
      <c r="AA275" s="174" t="s">
        <v>2271</v>
      </c>
      <c r="AB275" s="174" t="s">
        <v>2178</v>
      </c>
      <c r="AC275" s="174" t="s">
        <v>2198</v>
      </c>
      <c r="AD275" s="174" t="s">
        <v>2231</v>
      </c>
      <c r="AE275" s="174" t="s">
        <v>2272</v>
      </c>
      <c r="AF275" s="174" t="s">
        <v>2273</v>
      </c>
      <c r="AG275" s="174" t="s">
        <v>2071</v>
      </c>
      <c r="AH275" s="174" t="s">
        <v>2274</v>
      </c>
      <c r="AI275" s="174" t="s">
        <v>2275</v>
      </c>
      <c r="AJ275" s="174" t="s">
        <v>2276</v>
      </c>
      <c r="AK275" s="174" t="s">
        <v>2277</v>
      </c>
      <c r="AU275" s="174" t="s">
        <v>248</v>
      </c>
      <c r="AV275" s="174" t="s">
        <v>248</v>
      </c>
      <c r="AW275" s="174" t="s">
        <v>248</v>
      </c>
    </row>
    <row r="276" spans="5:49" ht="13.35" customHeight="1" x14ac:dyDescent="0.2">
      <c r="E276" s="221" t="s">
        <v>2278</v>
      </c>
      <c r="F276" s="174">
        <v>18</v>
      </c>
      <c r="G276" s="174" t="s">
        <v>206</v>
      </c>
      <c r="H276" s="174" t="s">
        <v>2279</v>
      </c>
      <c r="I276" s="174" t="s">
        <v>2280</v>
      </c>
      <c r="J276" s="174" t="s">
        <v>2281</v>
      </c>
      <c r="K276" s="174" t="s">
        <v>2282</v>
      </c>
      <c r="L276" s="174" t="s">
        <v>2283</v>
      </c>
      <c r="M276" s="174" t="s">
        <v>2284</v>
      </c>
      <c r="N276" s="174" t="s">
        <v>2285</v>
      </c>
      <c r="Y276" s="174" t="s">
        <v>2048</v>
      </c>
      <c r="Z276" s="174" t="s">
        <v>2286</v>
      </c>
      <c r="AA276" s="174" t="s">
        <v>2287</v>
      </c>
      <c r="AB276" s="174" t="s">
        <v>2288</v>
      </c>
      <c r="AC276" s="174" t="s">
        <v>2289</v>
      </c>
      <c r="AD276" s="174" t="s">
        <v>2290</v>
      </c>
      <c r="AE276" s="174" t="s">
        <v>2034</v>
      </c>
      <c r="AF276" s="174" t="s">
        <v>2291</v>
      </c>
      <c r="AG276" s="174" t="s">
        <v>2292</v>
      </c>
      <c r="AH276" s="174" t="s">
        <v>2293</v>
      </c>
      <c r="AU276" s="174" t="s">
        <v>248</v>
      </c>
      <c r="AV276" s="174" t="s">
        <v>248</v>
      </c>
      <c r="AW276" s="174" t="s">
        <v>248</v>
      </c>
    </row>
    <row r="277" spans="5:49" ht="13.35" customHeight="1" x14ac:dyDescent="0.2">
      <c r="E277" s="221" t="s">
        <v>2294</v>
      </c>
      <c r="F277" s="174">
        <v>66</v>
      </c>
      <c r="G277" s="174" t="s">
        <v>206</v>
      </c>
      <c r="H277" s="174" t="s">
        <v>2295</v>
      </c>
      <c r="I277" s="174" t="s">
        <v>2296</v>
      </c>
      <c r="J277" s="174" t="s">
        <v>2297</v>
      </c>
      <c r="K277" s="174" t="s">
        <v>2298</v>
      </c>
      <c r="L277" s="174" t="s">
        <v>2299</v>
      </c>
      <c r="Y277" s="174" t="s">
        <v>2236</v>
      </c>
      <c r="Z277" s="174" t="s">
        <v>2237</v>
      </c>
      <c r="AA277" s="174" t="s">
        <v>2248</v>
      </c>
      <c r="AB277" s="174" t="s">
        <v>2024</v>
      </c>
      <c r="AC277" s="174" t="s">
        <v>2300</v>
      </c>
      <c r="AD277" s="174" t="s">
        <v>2026</v>
      </c>
      <c r="AE277" s="174" t="s">
        <v>2178</v>
      </c>
      <c r="AF277" s="174" t="s">
        <v>2030</v>
      </c>
      <c r="AG277" s="174" t="s">
        <v>2162</v>
      </c>
      <c r="AH277" s="174" t="s">
        <v>2068</v>
      </c>
      <c r="AI277" s="174" t="s">
        <v>2224</v>
      </c>
      <c r="AJ277" s="174" t="s">
        <v>2034</v>
      </c>
      <c r="AK277" s="174" t="s">
        <v>2160</v>
      </c>
      <c r="AU277" s="174" t="s">
        <v>248</v>
      </c>
      <c r="AV277" s="174" t="s">
        <v>248</v>
      </c>
      <c r="AW277" s="174" t="s">
        <v>2301</v>
      </c>
    </row>
    <row r="278" spans="5:49" ht="13.35" customHeight="1" x14ac:dyDescent="0.2">
      <c r="E278" s="221" t="s">
        <v>2302</v>
      </c>
      <c r="F278" s="174">
        <v>42</v>
      </c>
      <c r="G278" s="174" t="s">
        <v>2261</v>
      </c>
      <c r="H278" s="174" t="s">
        <v>2303</v>
      </c>
      <c r="I278" s="174" t="s">
        <v>2304</v>
      </c>
      <c r="J278" s="174" t="s">
        <v>2305</v>
      </c>
      <c r="K278" s="174" t="s">
        <v>2306</v>
      </c>
      <c r="L278" s="174" t="s">
        <v>2307</v>
      </c>
      <c r="M278" s="174" t="s">
        <v>2308</v>
      </c>
      <c r="N278" s="174" t="s">
        <v>2309</v>
      </c>
      <c r="O278" s="174" t="s">
        <v>2310</v>
      </c>
      <c r="Y278" s="174" t="s">
        <v>2311</v>
      </c>
      <c r="Z278" s="174" t="s">
        <v>2160</v>
      </c>
      <c r="AA278" s="174" t="s">
        <v>2312</v>
      </c>
      <c r="AB278" s="174" t="s">
        <v>2313</v>
      </c>
      <c r="AC278" s="174" t="s">
        <v>2050</v>
      </c>
      <c r="AD278" s="174" t="s">
        <v>2160</v>
      </c>
      <c r="AE278" s="174" t="s">
        <v>2115</v>
      </c>
      <c r="AF278" s="174" t="s">
        <v>2314</v>
      </c>
      <c r="AG278" s="174" t="s">
        <v>2315</v>
      </c>
      <c r="AU278" s="174" t="s">
        <v>248</v>
      </c>
      <c r="AV278" s="174" t="s">
        <v>248</v>
      </c>
      <c r="AW278" s="174" t="s">
        <v>248</v>
      </c>
    </row>
    <row r="279" spans="5:49" ht="13.35" customHeight="1" x14ac:dyDescent="0.2">
      <c r="E279" s="221" t="s">
        <v>2316</v>
      </c>
      <c r="F279" s="174">
        <v>116</v>
      </c>
      <c r="G279" s="174" t="s">
        <v>206</v>
      </c>
      <c r="H279" s="174" t="s">
        <v>2317</v>
      </c>
      <c r="I279" s="174" t="s">
        <v>2130</v>
      </c>
      <c r="J279" s="174" t="s">
        <v>2318</v>
      </c>
      <c r="K279" s="174" t="s">
        <v>2319</v>
      </c>
      <c r="L279" s="174" t="s">
        <v>2320</v>
      </c>
      <c r="M279" s="174" t="s">
        <v>2321</v>
      </c>
      <c r="Y279" s="174" t="s">
        <v>2322</v>
      </c>
      <c r="Z279" s="174" t="s">
        <v>2323</v>
      </c>
      <c r="AA279" s="174" t="s">
        <v>2324</v>
      </c>
      <c r="AB279" s="174" t="s">
        <v>2047</v>
      </c>
      <c r="AC279" s="174" t="s">
        <v>2025</v>
      </c>
      <c r="AD279" s="174" t="s">
        <v>2047</v>
      </c>
      <c r="AE279" s="174" t="s">
        <v>2113</v>
      </c>
      <c r="AF279" s="174" t="s">
        <v>2139</v>
      </c>
      <c r="AG279" s="174" t="s">
        <v>2325</v>
      </c>
      <c r="AH279" s="174" t="s">
        <v>2160</v>
      </c>
      <c r="AI279" s="174" t="s">
        <v>2258</v>
      </c>
      <c r="AJ279" s="174" t="s">
        <v>2139</v>
      </c>
      <c r="AK279" s="174" t="s">
        <v>2326</v>
      </c>
      <c r="AL279" s="174" t="s">
        <v>2327</v>
      </c>
      <c r="AU279" s="174" t="s">
        <v>248</v>
      </c>
      <c r="AV279" s="174" t="s">
        <v>248</v>
      </c>
      <c r="AW279" s="174" t="s">
        <v>217</v>
      </c>
    </row>
    <row r="280" spans="5:49" ht="13.35" customHeight="1" x14ac:dyDescent="0.2">
      <c r="E280" s="221" t="s">
        <v>2328</v>
      </c>
      <c r="F280" s="174">
        <v>33</v>
      </c>
      <c r="G280" s="174" t="s">
        <v>2261</v>
      </c>
      <c r="H280" s="174" t="s">
        <v>2329</v>
      </c>
      <c r="I280" s="174" t="s">
        <v>2330</v>
      </c>
      <c r="J280" s="174" t="s">
        <v>2331</v>
      </c>
      <c r="K280" s="174" t="s">
        <v>2332</v>
      </c>
      <c r="L280" s="174" t="s">
        <v>2333</v>
      </c>
      <c r="M280" s="174" t="s">
        <v>2334</v>
      </c>
      <c r="N280" s="174" t="s">
        <v>2335</v>
      </c>
      <c r="O280" s="174" t="s">
        <v>2336</v>
      </c>
      <c r="P280" s="174" t="s">
        <v>2337</v>
      </c>
      <c r="Q280" s="174" t="s">
        <v>2338</v>
      </c>
      <c r="R280" s="174" t="s">
        <v>2339</v>
      </c>
      <c r="S280" s="174" t="s">
        <v>2340</v>
      </c>
      <c r="T280" s="174" t="s">
        <v>2341</v>
      </c>
      <c r="Y280" s="174" t="s">
        <v>2226</v>
      </c>
      <c r="Z280" s="174" t="s">
        <v>2342</v>
      </c>
      <c r="AA280" s="174" t="s">
        <v>2162</v>
      </c>
      <c r="AB280" s="174" t="s">
        <v>2343</v>
      </c>
      <c r="AC280" s="174" t="s">
        <v>2165</v>
      </c>
      <c r="AD280" s="174" t="s">
        <v>2344</v>
      </c>
      <c r="AE280" s="174" t="s">
        <v>2345</v>
      </c>
      <c r="AF280" s="174" t="s">
        <v>2346</v>
      </c>
      <c r="AG280" s="174" t="s">
        <v>2139</v>
      </c>
      <c r="AU280" s="174" t="s">
        <v>248</v>
      </c>
      <c r="AV280" s="174" t="s">
        <v>248</v>
      </c>
      <c r="AW280" s="174" t="s">
        <v>248</v>
      </c>
    </row>
    <row r="281" spans="5:49" ht="13.35" customHeight="1" x14ac:dyDescent="0.2">
      <c r="E281" s="221" t="s">
        <v>2347</v>
      </c>
      <c r="F281" s="174">
        <v>35</v>
      </c>
      <c r="G281" s="174" t="s">
        <v>2348</v>
      </c>
      <c r="H281" s="174" t="s">
        <v>2349</v>
      </c>
      <c r="I281" s="174" t="s">
        <v>2350</v>
      </c>
      <c r="J281" s="174" t="s">
        <v>2351</v>
      </c>
      <c r="K281" s="174" t="s">
        <v>2352</v>
      </c>
      <c r="L281" s="174" t="s">
        <v>2353</v>
      </c>
      <c r="Y281" s="174" t="s">
        <v>2354</v>
      </c>
      <c r="Z281" s="174" t="s">
        <v>724</v>
      </c>
      <c r="AA281" s="174" t="s">
        <v>2027</v>
      </c>
      <c r="AB281" s="174" t="s">
        <v>2355</v>
      </c>
      <c r="AC281" s="174" t="s">
        <v>2356</v>
      </c>
      <c r="AD281" s="174" t="s">
        <v>2357</v>
      </c>
      <c r="AE281" s="174" t="s">
        <v>2358</v>
      </c>
      <c r="AF281" s="174" t="s">
        <v>2359</v>
      </c>
      <c r="AG281" s="174" t="s">
        <v>2345</v>
      </c>
      <c r="AH281" s="174" t="s">
        <v>2360</v>
      </c>
      <c r="AU281" s="174" t="s">
        <v>248</v>
      </c>
      <c r="AV281" s="174" t="s">
        <v>248</v>
      </c>
      <c r="AW281" s="174" t="s">
        <v>248</v>
      </c>
    </row>
    <row r="282" spans="5:49" ht="13.35" customHeight="1" x14ac:dyDescent="0.2">
      <c r="E282" s="221" t="s">
        <v>2361</v>
      </c>
      <c r="F282" s="174">
        <v>18</v>
      </c>
      <c r="G282" s="174" t="s">
        <v>2261</v>
      </c>
      <c r="H282" s="174" t="s">
        <v>2362</v>
      </c>
      <c r="I282" s="174" t="s">
        <v>2362</v>
      </c>
      <c r="J282" s="174" t="s">
        <v>2362</v>
      </c>
      <c r="K282" s="174" t="s">
        <v>2363</v>
      </c>
      <c r="L282" s="174" t="s">
        <v>2364</v>
      </c>
      <c r="M282" s="174" t="s">
        <v>2365</v>
      </c>
      <c r="Y282" s="174" t="s">
        <v>2366</v>
      </c>
      <c r="Z282" s="174" t="s">
        <v>2139</v>
      </c>
      <c r="AA282" s="174" t="s">
        <v>2345</v>
      </c>
      <c r="AB282" s="174" t="s">
        <v>2367</v>
      </c>
      <c r="AC282" s="174" t="s">
        <v>2368</v>
      </c>
      <c r="AD282" s="174" t="s">
        <v>2358</v>
      </c>
      <c r="AE282" s="174" t="s">
        <v>2072</v>
      </c>
      <c r="AF282" s="174" t="s">
        <v>2073</v>
      </c>
      <c r="AG282" s="174" t="s">
        <v>2226</v>
      </c>
      <c r="AH282" s="174" t="s">
        <v>2369</v>
      </c>
      <c r="AI282" s="174" t="s">
        <v>2256</v>
      </c>
      <c r="AJ282" s="174" t="s">
        <v>2370</v>
      </c>
      <c r="AK282" s="174" t="s">
        <v>2371</v>
      </c>
      <c r="AL282" s="174" t="s">
        <v>2077</v>
      </c>
      <c r="AM282" s="174" t="s">
        <v>2079</v>
      </c>
      <c r="AN282" s="174" t="s">
        <v>2078</v>
      </c>
      <c r="AU282" s="174" t="s">
        <v>248</v>
      </c>
      <c r="AV282" s="174" t="s">
        <v>248</v>
      </c>
      <c r="AW282" s="174" t="s">
        <v>217</v>
      </c>
    </row>
    <row r="283" spans="5:49" ht="13.35" customHeight="1" x14ac:dyDescent="0.2">
      <c r="E283" s="221" t="s">
        <v>2372</v>
      </c>
      <c r="F283" s="174">
        <v>69</v>
      </c>
      <c r="G283" s="174" t="s">
        <v>206</v>
      </c>
      <c r="H283" s="174" t="s">
        <v>2373</v>
      </c>
      <c r="I283" s="174" t="s">
        <v>2374</v>
      </c>
      <c r="J283" s="174" t="s">
        <v>2375</v>
      </c>
      <c r="K283" s="174" t="s">
        <v>2295</v>
      </c>
      <c r="L283" s="174" t="s">
        <v>2376</v>
      </c>
      <c r="M283" s="174" t="s">
        <v>2377</v>
      </c>
      <c r="N283" s="174" t="s">
        <v>2349</v>
      </c>
      <c r="O283" s="174" t="s">
        <v>2378</v>
      </c>
      <c r="P283" s="174" t="s">
        <v>2379</v>
      </c>
      <c r="Q283" s="174" t="s">
        <v>2380</v>
      </c>
      <c r="Y283" s="174" t="s">
        <v>2381</v>
      </c>
      <c r="Z283" s="174" t="s">
        <v>2047</v>
      </c>
      <c r="AA283" s="174" t="s">
        <v>2382</v>
      </c>
      <c r="AB283" s="174" t="s">
        <v>2383</v>
      </c>
      <c r="AC283" s="174" t="s">
        <v>2384</v>
      </c>
      <c r="AD283" s="174" t="s">
        <v>2385</v>
      </c>
      <c r="AE283" s="174" t="s">
        <v>2139</v>
      </c>
      <c r="AF283" s="174" t="s">
        <v>2162</v>
      </c>
      <c r="AG283" s="174" t="s">
        <v>2386</v>
      </c>
      <c r="AH283" s="174" t="s">
        <v>2387</v>
      </c>
      <c r="AI283" s="174" t="s">
        <v>2388</v>
      </c>
      <c r="AJ283" s="174" t="s">
        <v>2140</v>
      </c>
      <c r="AK283" s="174" t="s">
        <v>2389</v>
      </c>
      <c r="AU283" s="174" t="s">
        <v>248</v>
      </c>
      <c r="AV283" s="174" t="s">
        <v>248</v>
      </c>
      <c r="AW283" s="174" t="s">
        <v>2390</v>
      </c>
    </row>
    <row r="284" spans="5:49" ht="13.35" customHeight="1" x14ac:dyDescent="0.2">
      <c r="E284" s="221" t="s">
        <v>2391</v>
      </c>
      <c r="F284" s="174">
        <v>40</v>
      </c>
      <c r="G284" s="174" t="s">
        <v>206</v>
      </c>
      <c r="H284" s="174" t="s">
        <v>2392</v>
      </c>
      <c r="I284" s="174" t="s">
        <v>2393</v>
      </c>
      <c r="J284" s="174" t="s">
        <v>2394</v>
      </c>
      <c r="K284" s="174" t="s">
        <v>2395</v>
      </c>
      <c r="L284" s="174" t="s">
        <v>2396</v>
      </c>
      <c r="Y284" s="174" t="s">
        <v>2397</v>
      </c>
      <c r="Z284" s="174" t="s">
        <v>2327</v>
      </c>
      <c r="AA284" s="174" t="s">
        <v>2048</v>
      </c>
      <c r="AB284" s="174" t="s">
        <v>2049</v>
      </c>
      <c r="AC284" s="174" t="s">
        <v>2398</v>
      </c>
      <c r="AD284" s="174" t="s">
        <v>2139</v>
      </c>
      <c r="AE284" s="174" t="s">
        <v>2399</v>
      </c>
      <c r="AF284" s="174" t="s">
        <v>2400</v>
      </c>
      <c r="AU284" s="174" t="s">
        <v>248</v>
      </c>
      <c r="AV284" s="174" t="s">
        <v>248</v>
      </c>
      <c r="AW284" s="174" t="s">
        <v>248</v>
      </c>
    </row>
    <row r="285" spans="5:49" ht="13.35" customHeight="1" x14ac:dyDescent="0.2">
      <c r="E285" s="221" t="s">
        <v>2401</v>
      </c>
      <c r="F285" s="174">
        <v>120</v>
      </c>
      <c r="G285" s="174" t="s">
        <v>206</v>
      </c>
      <c r="H285" s="174" t="s">
        <v>2402</v>
      </c>
      <c r="I285" s="174" t="s">
        <v>2403</v>
      </c>
      <c r="J285" s="174" t="s">
        <v>2404</v>
      </c>
      <c r="K285" s="174" t="s">
        <v>2405</v>
      </c>
      <c r="L285" s="174" t="s">
        <v>2406</v>
      </c>
      <c r="M285" s="174" t="s">
        <v>2407</v>
      </c>
      <c r="Y285" s="174" t="s">
        <v>2408</v>
      </c>
      <c r="Z285" s="174" t="s">
        <v>2409</v>
      </c>
      <c r="AA285" s="174" t="s">
        <v>2410</v>
      </c>
      <c r="AB285" s="174" t="s">
        <v>2411</v>
      </c>
      <c r="AC285" s="174" t="s">
        <v>2412</v>
      </c>
      <c r="AD285" s="174" t="s">
        <v>2139</v>
      </c>
      <c r="AE285" s="174" t="s">
        <v>2413</v>
      </c>
      <c r="AF285" s="174" t="s">
        <v>2414</v>
      </c>
      <c r="AG285" s="174" t="s">
        <v>2415</v>
      </c>
      <c r="AH285" s="174" t="s">
        <v>2416</v>
      </c>
      <c r="AU285" s="174" t="s">
        <v>248</v>
      </c>
      <c r="AV285" s="174" t="s">
        <v>248</v>
      </c>
      <c r="AW285" s="174" t="s">
        <v>231</v>
      </c>
    </row>
    <row r="286" spans="5:49" ht="13.35" customHeight="1" x14ac:dyDescent="0.2">
      <c r="E286" s="221" t="s">
        <v>2417</v>
      </c>
      <c r="F286" s="174">
        <v>73</v>
      </c>
      <c r="G286" s="174" t="s">
        <v>206</v>
      </c>
      <c r="H286" s="174" t="s">
        <v>2418</v>
      </c>
      <c r="I286" s="174" t="s">
        <v>2419</v>
      </c>
      <c r="J286" s="174" t="s">
        <v>2420</v>
      </c>
      <c r="K286" s="174" t="s">
        <v>2421</v>
      </c>
      <c r="L286" s="174" t="s">
        <v>2422</v>
      </c>
      <c r="M286" s="174" t="s">
        <v>2423</v>
      </c>
      <c r="Y286" s="174" t="s">
        <v>2424</v>
      </c>
      <c r="Z286" s="174" t="s">
        <v>2425</v>
      </c>
      <c r="AA286" s="174" t="s">
        <v>2426</v>
      </c>
      <c r="AB286" s="174" t="s">
        <v>2427</v>
      </c>
      <c r="AC286" s="174" t="s">
        <v>2425</v>
      </c>
      <c r="AD286" s="174" t="s">
        <v>2426</v>
      </c>
      <c r="AE286" s="174" t="s">
        <v>2428</v>
      </c>
      <c r="AF286" s="174" t="s">
        <v>2047</v>
      </c>
      <c r="AG286" s="174" t="s">
        <v>2162</v>
      </c>
      <c r="AH286" s="174" t="s">
        <v>2160</v>
      </c>
      <c r="AU286" s="174" t="s">
        <v>248</v>
      </c>
      <c r="AV286" s="174" t="s">
        <v>248</v>
      </c>
      <c r="AW286" s="174" t="s">
        <v>2429</v>
      </c>
    </row>
    <row r="287" spans="5:49" ht="13.35" customHeight="1" x14ac:dyDescent="0.2">
      <c r="E287" s="221" t="s">
        <v>2430</v>
      </c>
      <c r="F287" s="174">
        <v>80</v>
      </c>
      <c r="G287" s="174" t="s">
        <v>2261</v>
      </c>
      <c r="H287" s="174" t="s">
        <v>2431</v>
      </c>
      <c r="I287" s="174" t="s">
        <v>2432</v>
      </c>
      <c r="J287" s="174" t="s">
        <v>2377</v>
      </c>
      <c r="K287" s="174" t="s">
        <v>2433</v>
      </c>
      <c r="L287" s="174" t="s">
        <v>2434</v>
      </c>
      <c r="M287" s="174" t="s">
        <v>2434</v>
      </c>
      <c r="N287" s="174" t="s">
        <v>2435</v>
      </c>
      <c r="O287" s="174" t="s">
        <v>2436</v>
      </c>
      <c r="Y287" s="174" t="s">
        <v>2437</v>
      </c>
      <c r="Z287" s="174" t="s">
        <v>2047</v>
      </c>
      <c r="AA287" s="174" t="s">
        <v>2438</v>
      </c>
      <c r="AB287" s="174" t="s">
        <v>2049</v>
      </c>
      <c r="AC287" s="174" t="s">
        <v>2439</v>
      </c>
      <c r="AD287" s="174" t="s">
        <v>2139</v>
      </c>
      <c r="AE287" s="174" t="s">
        <v>2356</v>
      </c>
      <c r="AF287" s="174" t="s">
        <v>2440</v>
      </c>
      <c r="AG287" s="174" t="s">
        <v>2384</v>
      </c>
      <c r="AH287" s="174" t="s">
        <v>2139</v>
      </c>
      <c r="AI287" s="174" t="s">
        <v>2441</v>
      </c>
      <c r="AJ287" s="174" t="s">
        <v>2442</v>
      </c>
      <c r="AK287" s="174" t="s">
        <v>2140</v>
      </c>
      <c r="AL287" s="174" t="s">
        <v>2139</v>
      </c>
      <c r="AM287" s="174" t="s">
        <v>2033</v>
      </c>
      <c r="AN287" s="174" t="s">
        <v>2139</v>
      </c>
      <c r="AO287" s="174" t="s">
        <v>2443</v>
      </c>
      <c r="AP287" s="174" t="s">
        <v>2444</v>
      </c>
      <c r="AQ287" s="174" t="s">
        <v>2445</v>
      </c>
      <c r="AR287" s="174" t="s">
        <v>2446</v>
      </c>
      <c r="AU287" s="174" t="s">
        <v>248</v>
      </c>
      <c r="AV287" s="174" t="s">
        <v>248</v>
      </c>
      <c r="AW287" s="174" t="s">
        <v>217</v>
      </c>
    </row>
    <row r="288" spans="5:49" ht="13.35" customHeight="1" x14ac:dyDescent="0.2">
      <c r="E288" s="221" t="s">
        <v>2447</v>
      </c>
      <c r="F288" s="174">
        <v>23</v>
      </c>
      <c r="G288" s="174" t="s">
        <v>2261</v>
      </c>
      <c r="H288" s="174" t="s">
        <v>2448</v>
      </c>
      <c r="I288" s="174" t="s">
        <v>2448</v>
      </c>
      <c r="J288" s="174" t="s">
        <v>2448</v>
      </c>
      <c r="K288" s="174" t="s">
        <v>2449</v>
      </c>
      <c r="L288" s="174" t="s">
        <v>2450</v>
      </c>
      <c r="M288" s="174" t="s">
        <v>2450</v>
      </c>
      <c r="N288" s="174" t="s">
        <v>2451</v>
      </c>
      <c r="Y288" s="174" t="s">
        <v>2452</v>
      </c>
      <c r="Z288" s="174" t="s">
        <v>2453</v>
      </c>
      <c r="AA288" s="174" t="s">
        <v>2454</v>
      </c>
      <c r="AB288" s="174" t="s">
        <v>2455</v>
      </c>
      <c r="AC288" s="174" t="s">
        <v>2287</v>
      </c>
      <c r="AD288" s="174" t="s">
        <v>2456</v>
      </c>
      <c r="AE288" s="174" t="s">
        <v>2292</v>
      </c>
      <c r="AF288" s="174" t="s">
        <v>2457</v>
      </c>
      <c r="AU288" s="174" t="s">
        <v>248</v>
      </c>
      <c r="AV288" s="174" t="s">
        <v>248</v>
      </c>
      <c r="AW288" s="174" t="s">
        <v>248</v>
      </c>
    </row>
    <row r="289" spans="5:49" ht="13.35" customHeight="1" x14ac:dyDescent="0.2">
      <c r="E289" s="221" t="s">
        <v>2458</v>
      </c>
      <c r="F289" s="174">
        <v>106</v>
      </c>
      <c r="G289" s="174" t="s">
        <v>206</v>
      </c>
      <c r="H289" s="174" t="s">
        <v>2459</v>
      </c>
      <c r="I289" s="174" t="s">
        <v>2460</v>
      </c>
      <c r="J289" s="174" t="s">
        <v>2461</v>
      </c>
      <c r="K289" s="174" t="s">
        <v>2462</v>
      </c>
      <c r="L289" s="174" t="s">
        <v>2463</v>
      </c>
      <c r="M289" s="174" t="s">
        <v>2464</v>
      </c>
      <c r="N289" s="174" t="s">
        <v>2465</v>
      </c>
      <c r="Y289" s="174" t="s">
        <v>2287</v>
      </c>
      <c r="Z289" s="174" t="s">
        <v>2289</v>
      </c>
      <c r="AA289" s="174" t="s">
        <v>2466</v>
      </c>
      <c r="AB289" s="174" t="s">
        <v>2467</v>
      </c>
      <c r="AC289" s="174" t="s">
        <v>2468</v>
      </c>
      <c r="AD289" s="174" t="s">
        <v>2212</v>
      </c>
      <c r="AE289" s="174" t="s">
        <v>2047</v>
      </c>
      <c r="AF289" s="174" t="s">
        <v>2469</v>
      </c>
      <c r="AG289" s="174" t="s">
        <v>2470</v>
      </c>
      <c r="AH289" s="174" t="s">
        <v>2162</v>
      </c>
      <c r="AI289" s="174" t="s">
        <v>2471</v>
      </c>
      <c r="AJ289" s="174" t="s">
        <v>2415</v>
      </c>
      <c r="AK289" s="174" t="s">
        <v>2472</v>
      </c>
      <c r="AU289" s="174" t="s">
        <v>248</v>
      </c>
      <c r="AV289" s="174" t="s">
        <v>248</v>
      </c>
      <c r="AW289" s="174" t="s">
        <v>235</v>
      </c>
    </row>
    <row r="290" spans="5:49" ht="13.35" customHeight="1" x14ac:dyDescent="0.2">
      <c r="E290" s="221" t="s">
        <v>2473</v>
      </c>
      <c r="F290" s="174">
        <v>40</v>
      </c>
      <c r="G290" s="174" t="s">
        <v>2261</v>
      </c>
      <c r="H290" s="174" t="s">
        <v>2474</v>
      </c>
      <c r="I290" s="174" t="s">
        <v>2475</v>
      </c>
      <c r="J290" s="174" t="s">
        <v>2476</v>
      </c>
      <c r="K290" s="174" t="s">
        <v>2476</v>
      </c>
      <c r="L290" s="174" t="s">
        <v>2477</v>
      </c>
      <c r="M290" s="174" t="s">
        <v>2478</v>
      </c>
      <c r="Y290" s="174" t="s">
        <v>2479</v>
      </c>
      <c r="Z290" s="174" t="s">
        <v>2480</v>
      </c>
      <c r="AA290" s="174" t="s">
        <v>2248</v>
      </c>
      <c r="AB290" s="174" t="s">
        <v>2049</v>
      </c>
      <c r="AC290" s="174" t="s">
        <v>2233</v>
      </c>
      <c r="AD290" s="174" t="s">
        <v>2481</v>
      </c>
      <c r="AE290" s="174" t="s">
        <v>2231</v>
      </c>
      <c r="AF290" s="174" t="s">
        <v>2160</v>
      </c>
      <c r="AU290" s="174" t="s">
        <v>248</v>
      </c>
      <c r="AV290" s="174" t="s">
        <v>248</v>
      </c>
      <c r="AW290" s="174" t="s">
        <v>248</v>
      </c>
    </row>
    <row r="291" spans="5:49" ht="13.35" customHeight="1" x14ac:dyDescent="0.2">
      <c r="E291" s="221" t="s">
        <v>2482</v>
      </c>
      <c r="F291" s="174">
        <v>130</v>
      </c>
      <c r="G291" s="174" t="s">
        <v>206</v>
      </c>
      <c r="H291" s="174" t="s">
        <v>2483</v>
      </c>
      <c r="I291" s="174" t="s">
        <v>2484</v>
      </c>
      <c r="J291" s="174" t="s">
        <v>2485</v>
      </c>
      <c r="K291" s="174" t="s">
        <v>2486</v>
      </c>
      <c r="L291" s="174" t="s">
        <v>2487</v>
      </c>
      <c r="M291" s="174" t="s">
        <v>2488</v>
      </c>
      <c r="Y291" s="174" t="s">
        <v>2489</v>
      </c>
      <c r="Z291" s="174" t="s">
        <v>2490</v>
      </c>
      <c r="AA291" s="174" t="s">
        <v>2491</v>
      </c>
      <c r="AB291" s="174" t="s">
        <v>2160</v>
      </c>
      <c r="AD291" s="174" t="s">
        <v>2492</v>
      </c>
      <c r="AE291" s="174" t="s">
        <v>2139</v>
      </c>
      <c r="AF291" s="174" t="s">
        <v>2233</v>
      </c>
      <c r="AG291" s="174" t="s">
        <v>2493</v>
      </c>
      <c r="AH291" s="174" t="s">
        <v>2113</v>
      </c>
      <c r="AI291" s="174" t="s">
        <v>2355</v>
      </c>
      <c r="AU291" s="174" t="s">
        <v>248</v>
      </c>
      <c r="AV291" s="174" t="s">
        <v>248</v>
      </c>
      <c r="AW291" s="174" t="s">
        <v>225</v>
      </c>
    </row>
    <row r="292" spans="5:49" ht="13.35" customHeight="1" x14ac:dyDescent="0.2">
      <c r="E292" s="221" t="s">
        <v>2494</v>
      </c>
      <c r="F292" s="174">
        <v>120</v>
      </c>
      <c r="G292" s="174" t="s">
        <v>206</v>
      </c>
      <c r="H292" s="174" t="s">
        <v>2303</v>
      </c>
      <c r="I292" s="174" t="s">
        <v>2495</v>
      </c>
      <c r="J292" s="174" t="s">
        <v>2204</v>
      </c>
      <c r="K292" s="174" t="s">
        <v>2496</v>
      </c>
      <c r="L292" s="174" t="s">
        <v>2497</v>
      </c>
      <c r="M292" s="174" t="s">
        <v>2498</v>
      </c>
      <c r="Y292" s="174" t="s">
        <v>2499</v>
      </c>
      <c r="Z292" s="174" t="s">
        <v>2500</v>
      </c>
      <c r="AA292" s="174" t="s">
        <v>2501</v>
      </c>
      <c r="AB292" s="174" t="s">
        <v>2502</v>
      </c>
      <c r="AC292" s="174" t="s">
        <v>2160</v>
      </c>
      <c r="AD292" s="174" t="s">
        <v>2115</v>
      </c>
      <c r="AE292" s="174" t="s">
        <v>2503</v>
      </c>
      <c r="AF292" s="174" t="s">
        <v>2213</v>
      </c>
      <c r="AG292" s="174" t="s">
        <v>2504</v>
      </c>
      <c r="AU292" s="174" t="s">
        <v>248</v>
      </c>
      <c r="AV292" s="174" t="s">
        <v>248</v>
      </c>
      <c r="AW292" s="174" t="s">
        <v>2505</v>
      </c>
    </row>
    <row r="293" spans="5:49" ht="13.35" customHeight="1" x14ac:dyDescent="0.2">
      <c r="E293" s="221" t="s">
        <v>2506</v>
      </c>
      <c r="F293" s="174">
        <v>28</v>
      </c>
      <c r="G293" s="174" t="s">
        <v>206</v>
      </c>
      <c r="H293" s="174" t="s">
        <v>2507</v>
      </c>
      <c r="I293" s="174" t="s">
        <v>2508</v>
      </c>
      <c r="J293" s="174" t="s">
        <v>2507</v>
      </c>
      <c r="K293" s="174" t="s">
        <v>2507</v>
      </c>
      <c r="L293" s="174" t="s">
        <v>2509</v>
      </c>
      <c r="M293" s="174" t="s">
        <v>2510</v>
      </c>
      <c r="N293" s="174" t="s">
        <v>2511</v>
      </c>
      <c r="Y293" s="174" t="s">
        <v>2025</v>
      </c>
      <c r="Z293" s="174" t="s">
        <v>2512</v>
      </c>
      <c r="AA293" s="174" t="s">
        <v>2248</v>
      </c>
      <c r="AB293" s="174" t="s">
        <v>2024</v>
      </c>
      <c r="AC293" s="174" t="s">
        <v>2226</v>
      </c>
      <c r="AD293" s="174" t="s">
        <v>2513</v>
      </c>
      <c r="AE293" s="174" t="s">
        <v>2162</v>
      </c>
      <c r="AF293" s="174" t="s">
        <v>2360</v>
      </c>
      <c r="AG293" s="174" t="s">
        <v>2238</v>
      </c>
      <c r="AH293" s="174" t="s">
        <v>2514</v>
      </c>
      <c r="AI293" s="174" t="s">
        <v>2179</v>
      </c>
      <c r="AJ293" s="174" t="s">
        <v>2515</v>
      </c>
      <c r="AU293" s="174" t="s">
        <v>248</v>
      </c>
      <c r="AV293" s="174" t="s">
        <v>248</v>
      </c>
      <c r="AW293" s="174" t="s">
        <v>248</v>
      </c>
    </row>
    <row r="294" spans="5:49" ht="13.35" customHeight="1" x14ac:dyDescent="0.2">
      <c r="E294" s="221" t="s">
        <v>2516</v>
      </c>
      <c r="F294" s="174">
        <v>33</v>
      </c>
      <c r="G294" s="174" t="s">
        <v>2261</v>
      </c>
      <c r="H294" s="174" t="s">
        <v>2517</v>
      </c>
      <c r="I294" s="174" t="s">
        <v>2518</v>
      </c>
      <c r="J294" s="174" t="s">
        <v>2519</v>
      </c>
      <c r="K294" s="174" t="s">
        <v>2520</v>
      </c>
      <c r="L294" s="174" t="s">
        <v>2353</v>
      </c>
      <c r="Y294" s="174" t="s">
        <v>2521</v>
      </c>
      <c r="Z294" s="174" t="s">
        <v>2211</v>
      </c>
      <c r="AA294" s="174" t="s">
        <v>2522</v>
      </c>
      <c r="AB294" s="174" t="s">
        <v>2160</v>
      </c>
      <c r="AC294" s="174" t="s">
        <v>2256</v>
      </c>
      <c r="AD294" s="174" t="s">
        <v>2523</v>
      </c>
      <c r="AE294" s="174" t="s">
        <v>2524</v>
      </c>
      <c r="AF294" s="174" t="s">
        <v>2076</v>
      </c>
      <c r="AG294" s="174" t="s">
        <v>2354</v>
      </c>
      <c r="AH294" s="174" t="s">
        <v>2139</v>
      </c>
      <c r="AU294" s="174" t="s">
        <v>248</v>
      </c>
      <c r="AV294" s="174" t="s">
        <v>248</v>
      </c>
      <c r="AW294" s="174" t="s">
        <v>248</v>
      </c>
    </row>
    <row r="295" spans="5:49" ht="13.35" customHeight="1" x14ac:dyDescent="0.2">
      <c r="E295" s="221" t="s">
        <v>2525</v>
      </c>
      <c r="F295" s="174">
        <v>69</v>
      </c>
      <c r="G295" s="174" t="s">
        <v>206</v>
      </c>
      <c r="H295" s="174" t="s">
        <v>2526</v>
      </c>
      <c r="I295" s="174" t="s">
        <v>2527</v>
      </c>
      <c r="J295" s="174" t="s">
        <v>2528</v>
      </c>
      <c r="K295" s="174" t="s">
        <v>2295</v>
      </c>
      <c r="L295" s="174" t="s">
        <v>2376</v>
      </c>
      <c r="M295" s="174" t="s">
        <v>2529</v>
      </c>
      <c r="Y295" s="174" t="s">
        <v>2097</v>
      </c>
      <c r="Z295" s="174" t="s">
        <v>2211</v>
      </c>
      <c r="AA295" s="174" t="s">
        <v>2530</v>
      </c>
      <c r="AB295" s="174" t="s">
        <v>2531</v>
      </c>
      <c r="AC295" s="174" t="s">
        <v>2532</v>
      </c>
      <c r="AD295" s="174" t="s">
        <v>2533</v>
      </c>
      <c r="AE295" s="174" t="s">
        <v>2259</v>
      </c>
      <c r="AF295" s="174" t="s">
        <v>2139</v>
      </c>
      <c r="AG295" s="174" t="s">
        <v>2162</v>
      </c>
      <c r="AH295" s="174" t="s">
        <v>2160</v>
      </c>
      <c r="AU295" s="174" t="s">
        <v>248</v>
      </c>
      <c r="AV295" s="174" t="s">
        <v>248</v>
      </c>
      <c r="AW295" s="174" t="s">
        <v>2534</v>
      </c>
    </row>
    <row r="296" spans="5:49" ht="13.35" customHeight="1" x14ac:dyDescent="0.2">
      <c r="E296" s="221" t="s">
        <v>2535</v>
      </c>
      <c r="F296" s="174">
        <v>26</v>
      </c>
      <c r="G296" s="174" t="s">
        <v>2261</v>
      </c>
      <c r="H296" s="174" t="s">
        <v>2536</v>
      </c>
      <c r="I296" s="174" t="s">
        <v>2537</v>
      </c>
      <c r="J296" s="174" t="s">
        <v>2538</v>
      </c>
      <c r="K296" s="174" t="s">
        <v>2539</v>
      </c>
      <c r="L296" s="174" t="s">
        <v>2376</v>
      </c>
      <c r="M296" s="174" t="s">
        <v>2540</v>
      </c>
      <c r="N296" s="174" t="s">
        <v>2541</v>
      </c>
      <c r="O296" s="174" t="s">
        <v>2541</v>
      </c>
      <c r="P296" s="174" t="s">
        <v>2541</v>
      </c>
      <c r="Q296" s="174" t="s">
        <v>2541</v>
      </c>
      <c r="R296" s="174" t="s">
        <v>2541</v>
      </c>
      <c r="S296" s="174" t="s">
        <v>2542</v>
      </c>
      <c r="Y296" s="174" t="s">
        <v>2437</v>
      </c>
      <c r="Z296" s="174" t="s">
        <v>2047</v>
      </c>
      <c r="AA296" s="174" t="s">
        <v>2324</v>
      </c>
      <c r="AB296" s="174" t="s">
        <v>2047</v>
      </c>
      <c r="AC296" s="174" t="s">
        <v>2117</v>
      </c>
      <c r="AD296" s="174" t="s">
        <v>2164</v>
      </c>
      <c r="AE296" s="174" t="s">
        <v>2356</v>
      </c>
      <c r="AF296" s="174" t="s">
        <v>2440</v>
      </c>
      <c r="AG296" s="174" t="s">
        <v>2287</v>
      </c>
      <c r="AH296" s="174" t="s">
        <v>2543</v>
      </c>
      <c r="AU296" s="174" t="s">
        <v>248</v>
      </c>
      <c r="AV296" s="174" t="s">
        <v>248</v>
      </c>
      <c r="AW296" s="174" t="s">
        <v>248</v>
      </c>
    </row>
    <row r="297" spans="5:49" ht="13.35" customHeight="1" x14ac:dyDescent="0.2">
      <c r="E297" s="221" t="s">
        <v>2544</v>
      </c>
      <c r="F297" s="174">
        <v>44</v>
      </c>
      <c r="G297" s="174" t="s">
        <v>2261</v>
      </c>
      <c r="H297" s="174" t="s">
        <v>2545</v>
      </c>
      <c r="I297" s="174" t="s">
        <v>2546</v>
      </c>
      <c r="J297" s="174" t="s">
        <v>2547</v>
      </c>
      <c r="K297" s="174" t="s">
        <v>2548</v>
      </c>
      <c r="L297" s="174" t="s">
        <v>2549</v>
      </c>
      <c r="M297" s="174" t="s">
        <v>2174</v>
      </c>
      <c r="Y297" s="174" t="s">
        <v>2244</v>
      </c>
      <c r="Z297" s="174" t="s">
        <v>2257</v>
      </c>
      <c r="AA297" s="174" t="s">
        <v>2135</v>
      </c>
      <c r="AB297" s="174" t="s">
        <v>2049</v>
      </c>
      <c r="AC297" s="174" t="s">
        <v>2029</v>
      </c>
      <c r="AD297" s="174" t="s">
        <v>2160</v>
      </c>
      <c r="AE297" s="174" t="s">
        <v>2113</v>
      </c>
      <c r="AF297" s="174" t="s">
        <v>2355</v>
      </c>
      <c r="AG297" s="174" t="s">
        <v>2532</v>
      </c>
      <c r="AH297" s="174" t="s">
        <v>2160</v>
      </c>
      <c r="AI297" s="174" t="s">
        <v>2231</v>
      </c>
      <c r="AJ297" s="174" t="s">
        <v>2160</v>
      </c>
      <c r="AU297" s="174" t="s">
        <v>248</v>
      </c>
      <c r="AV297" s="174" t="s">
        <v>248</v>
      </c>
      <c r="AW297" s="174" t="s">
        <v>248</v>
      </c>
    </row>
    <row r="298" spans="5:49" ht="13.35" customHeight="1" x14ac:dyDescent="0.2">
      <c r="E298" s="221" t="s">
        <v>2550</v>
      </c>
      <c r="F298" s="174">
        <v>18</v>
      </c>
      <c r="G298" s="174" t="s">
        <v>206</v>
      </c>
      <c r="H298" s="174" t="s">
        <v>2551</v>
      </c>
      <c r="I298" s="174" t="s">
        <v>2552</v>
      </c>
      <c r="J298" s="174" t="s">
        <v>2553</v>
      </c>
      <c r="Y298" s="174" t="s">
        <v>2248</v>
      </c>
      <c r="Z298" s="174" t="s">
        <v>2024</v>
      </c>
      <c r="AA298" s="174" t="s">
        <v>2300</v>
      </c>
      <c r="AB298" s="174" t="s">
        <v>2026</v>
      </c>
      <c r="AC298" s="174" t="s">
        <v>2178</v>
      </c>
      <c r="AD298" s="174" t="s">
        <v>2030</v>
      </c>
      <c r="AE298" s="174" t="s">
        <v>2238</v>
      </c>
      <c r="AF298" s="174" t="s">
        <v>2139</v>
      </c>
      <c r="AG298" s="174" t="s">
        <v>2387</v>
      </c>
      <c r="AH298" s="174" t="s">
        <v>2388</v>
      </c>
      <c r="AU298" s="174" t="s">
        <v>248</v>
      </c>
      <c r="AV298" s="174" t="s">
        <v>248</v>
      </c>
      <c r="AW298" s="174" t="s">
        <v>248</v>
      </c>
    </row>
    <row r="299" spans="5:49" ht="13.35" customHeight="1" x14ac:dyDescent="0.2">
      <c r="E299" s="221" t="s">
        <v>2554</v>
      </c>
      <c r="F299" s="174">
        <v>95</v>
      </c>
      <c r="G299" s="174" t="s">
        <v>206</v>
      </c>
      <c r="H299" s="174" t="s">
        <v>2551</v>
      </c>
      <c r="I299" s="174" t="s">
        <v>2555</v>
      </c>
      <c r="J299" s="174" t="s">
        <v>2556</v>
      </c>
      <c r="K299" s="174" t="s">
        <v>2557</v>
      </c>
      <c r="L299" s="174" t="s">
        <v>2558</v>
      </c>
      <c r="Y299" s="174" t="s">
        <v>2559</v>
      </c>
      <c r="Z299" s="174" t="s">
        <v>2211</v>
      </c>
      <c r="AA299" s="174" t="s">
        <v>2248</v>
      </c>
      <c r="AB299" s="174" t="s">
        <v>2024</v>
      </c>
      <c r="AC299" s="174" t="s">
        <v>2300</v>
      </c>
      <c r="AD299" s="174" t="s">
        <v>2026</v>
      </c>
      <c r="AE299" s="174" t="s">
        <v>2178</v>
      </c>
      <c r="AF299" s="174" t="s">
        <v>2030</v>
      </c>
      <c r="AG299" s="174" t="s">
        <v>2521</v>
      </c>
      <c r="AH299" s="174" t="s">
        <v>2211</v>
      </c>
      <c r="AI299" s="174" t="s">
        <v>2387</v>
      </c>
      <c r="AJ299" s="174" t="s">
        <v>2388</v>
      </c>
      <c r="AK299" s="174" t="s">
        <v>2452</v>
      </c>
      <c r="AL299" s="174" t="s">
        <v>2211</v>
      </c>
      <c r="AU299" s="174" t="s">
        <v>248</v>
      </c>
      <c r="AV299" s="174" t="s">
        <v>248</v>
      </c>
      <c r="AW299" s="174" t="s">
        <v>217</v>
      </c>
    </row>
    <row r="300" spans="5:49" ht="13.35" customHeight="1" x14ac:dyDescent="0.2">
      <c r="E300" s="221" t="s">
        <v>2560</v>
      </c>
      <c r="F300" s="174">
        <v>76</v>
      </c>
      <c r="G300" s="174" t="s">
        <v>206</v>
      </c>
      <c r="H300" s="174" t="s">
        <v>2561</v>
      </c>
      <c r="I300" s="174" t="s">
        <v>2562</v>
      </c>
      <c r="J300" s="174" t="s">
        <v>2563</v>
      </c>
      <c r="K300" s="174" t="s">
        <v>2564</v>
      </c>
      <c r="L300" s="174" t="s">
        <v>2564</v>
      </c>
      <c r="M300" s="174" t="s">
        <v>2564</v>
      </c>
      <c r="N300" s="174" t="s">
        <v>2564</v>
      </c>
      <c r="O300" s="174" t="s">
        <v>2565</v>
      </c>
      <c r="Y300" s="174" t="s">
        <v>2212</v>
      </c>
      <c r="Z300" s="174" t="s">
        <v>2160</v>
      </c>
      <c r="AA300" s="174" t="s">
        <v>2566</v>
      </c>
      <c r="AB300" s="174" t="s">
        <v>2567</v>
      </c>
      <c r="AC300" s="174" t="s">
        <v>2568</v>
      </c>
      <c r="AD300" s="174" t="s">
        <v>2569</v>
      </c>
      <c r="AE300" s="174" t="s">
        <v>2213</v>
      </c>
      <c r="AF300" s="174" t="s">
        <v>2570</v>
      </c>
      <c r="AU300" s="174" t="s">
        <v>248</v>
      </c>
      <c r="AV300" s="174" t="s">
        <v>248</v>
      </c>
      <c r="AW300" s="174" t="s">
        <v>233</v>
      </c>
    </row>
    <row r="301" spans="5:49" ht="13.35" customHeight="1" x14ac:dyDescent="0.2">
      <c r="E301" s="221" t="s">
        <v>2571</v>
      </c>
      <c r="F301" s="174">
        <v>86</v>
      </c>
      <c r="G301" s="174" t="s">
        <v>206</v>
      </c>
      <c r="H301" s="174" t="s">
        <v>2572</v>
      </c>
      <c r="I301" s="174" t="s">
        <v>2573</v>
      </c>
      <c r="J301" s="174" t="s">
        <v>2574</v>
      </c>
      <c r="K301" s="174" t="s">
        <v>2575</v>
      </c>
      <c r="L301" s="174" t="s">
        <v>2576</v>
      </c>
      <c r="M301" s="174" t="s">
        <v>2577</v>
      </c>
      <c r="N301" s="174" t="s">
        <v>2578</v>
      </c>
      <c r="O301" s="174" t="s">
        <v>2579</v>
      </c>
      <c r="Y301" s="174" t="s">
        <v>2046</v>
      </c>
      <c r="Z301" s="174" t="s">
        <v>2160</v>
      </c>
      <c r="AA301" s="174" t="s">
        <v>2566</v>
      </c>
      <c r="AB301" s="174" t="s">
        <v>2580</v>
      </c>
      <c r="AC301" s="174" t="s">
        <v>2454</v>
      </c>
      <c r="AD301" s="174" t="s">
        <v>2189</v>
      </c>
      <c r="AE301" s="174" t="s">
        <v>2581</v>
      </c>
      <c r="AF301" s="174" t="s">
        <v>2582</v>
      </c>
      <c r="AG301" s="174" t="s">
        <v>2583</v>
      </c>
      <c r="AH301" s="174" t="s">
        <v>2160</v>
      </c>
      <c r="AI301" s="174" t="s">
        <v>2202</v>
      </c>
      <c r="AJ301" s="174" t="s">
        <v>2139</v>
      </c>
      <c r="AU301" s="174" t="s">
        <v>2584</v>
      </c>
      <c r="AV301" s="174" t="s">
        <v>248</v>
      </c>
      <c r="AW301" s="174" t="s">
        <v>2585</v>
      </c>
    </row>
    <row r="302" spans="5:49" ht="13.35" customHeight="1" x14ac:dyDescent="0.2">
      <c r="E302" s="221" t="s">
        <v>2586</v>
      </c>
      <c r="F302" s="174">
        <v>46</v>
      </c>
      <c r="G302" s="174" t="s">
        <v>206</v>
      </c>
      <c r="H302" s="174" t="s">
        <v>2587</v>
      </c>
      <c r="I302" s="174" t="s">
        <v>2588</v>
      </c>
      <c r="J302" s="174" t="s">
        <v>2589</v>
      </c>
      <c r="K302" s="174" t="s">
        <v>2590</v>
      </c>
      <c r="L302" s="174" t="s">
        <v>2591</v>
      </c>
      <c r="M302" s="174" t="s">
        <v>2592</v>
      </c>
      <c r="N302" s="174" t="s">
        <v>2593</v>
      </c>
      <c r="O302" s="174" t="s">
        <v>2594</v>
      </c>
      <c r="Y302" s="174" t="s">
        <v>2226</v>
      </c>
      <c r="Z302" s="174" t="s">
        <v>2595</v>
      </c>
      <c r="AA302" s="174" t="s">
        <v>2048</v>
      </c>
      <c r="AB302" s="174" t="s">
        <v>2596</v>
      </c>
      <c r="AC302" s="174" t="s">
        <v>2292</v>
      </c>
      <c r="AD302" s="174" t="s">
        <v>2597</v>
      </c>
      <c r="AE302" s="174" t="s">
        <v>2598</v>
      </c>
      <c r="AF302" s="174" t="s">
        <v>2599</v>
      </c>
      <c r="AU302" s="174" t="s">
        <v>248</v>
      </c>
      <c r="AV302" s="174" t="s">
        <v>584</v>
      </c>
      <c r="AW302" s="174" t="s">
        <v>248</v>
      </c>
    </row>
    <row r="303" spans="5:49" ht="13.35" customHeight="1" x14ac:dyDescent="0.2">
      <c r="E303" s="221" t="s">
        <v>2600</v>
      </c>
      <c r="F303" s="174">
        <v>40</v>
      </c>
      <c r="G303" s="174" t="s">
        <v>206</v>
      </c>
      <c r="H303" s="174" t="s">
        <v>2601</v>
      </c>
      <c r="I303" s="174" t="s">
        <v>2602</v>
      </c>
      <c r="J303" s="174" t="s">
        <v>2603</v>
      </c>
      <c r="K303" s="174" t="s">
        <v>2604</v>
      </c>
      <c r="L303" s="174" t="s">
        <v>2605</v>
      </c>
      <c r="M303" s="174" t="s">
        <v>2606</v>
      </c>
      <c r="N303" s="174" t="s">
        <v>2607</v>
      </c>
      <c r="O303" s="174" t="s">
        <v>2608</v>
      </c>
      <c r="P303" s="174" t="s">
        <v>2609</v>
      </c>
      <c r="Q303" s="174" t="s">
        <v>2610</v>
      </c>
      <c r="Y303" s="174" t="s">
        <v>2226</v>
      </c>
      <c r="Z303" s="174" t="s">
        <v>2369</v>
      </c>
      <c r="AA303" s="174" t="s">
        <v>2117</v>
      </c>
      <c r="AC303" s="174" t="s">
        <v>2072</v>
      </c>
      <c r="AD303" s="174" t="s">
        <v>2611</v>
      </c>
      <c r="AE303" s="174" t="s">
        <v>2367</v>
      </c>
      <c r="AF303" s="174" t="s">
        <v>2123</v>
      </c>
      <c r="AG303" s="174" t="s">
        <v>2612</v>
      </c>
      <c r="AU303" s="174" t="s">
        <v>248</v>
      </c>
      <c r="AV303" s="174" t="s">
        <v>560</v>
      </c>
      <c r="AW303" s="174" t="s">
        <v>248</v>
      </c>
    </row>
    <row r="304" spans="5:49" ht="13.35" customHeight="1" x14ac:dyDescent="0.2">
      <c r="E304" s="221" t="s">
        <v>2613</v>
      </c>
      <c r="F304" s="174">
        <v>95</v>
      </c>
      <c r="G304" s="174" t="s">
        <v>206</v>
      </c>
      <c r="H304" s="174" t="s">
        <v>2614</v>
      </c>
      <c r="I304" s="174" t="s">
        <v>2614</v>
      </c>
      <c r="J304" s="174" t="s">
        <v>2014</v>
      </c>
      <c r="K304" s="174" t="s">
        <v>2014</v>
      </c>
      <c r="L304" s="174" t="s">
        <v>2174</v>
      </c>
      <c r="Y304" s="174" t="s">
        <v>2615</v>
      </c>
      <c r="Z304" s="174" t="s">
        <v>2616</v>
      </c>
      <c r="AA304" s="174" t="s">
        <v>2617</v>
      </c>
      <c r="AB304" s="174" t="s">
        <v>2257</v>
      </c>
      <c r="AC304" s="174" t="s">
        <v>2618</v>
      </c>
      <c r="AD304" s="174" t="s">
        <v>2211</v>
      </c>
      <c r="AE304" s="174" t="s">
        <v>2619</v>
      </c>
      <c r="AF304" s="174" t="s">
        <v>2620</v>
      </c>
      <c r="AG304" s="174" t="s">
        <v>2139</v>
      </c>
      <c r="AU304" s="174" t="s">
        <v>248</v>
      </c>
      <c r="AV304" s="174" t="s">
        <v>248</v>
      </c>
      <c r="AW304" s="174" t="s">
        <v>2429</v>
      </c>
    </row>
    <row r="305" spans="5:49" ht="13.35" customHeight="1" x14ac:dyDescent="0.2">
      <c r="E305" s="221" t="s">
        <v>2621</v>
      </c>
      <c r="F305" s="174">
        <v>37</v>
      </c>
      <c r="G305" s="174" t="s">
        <v>206</v>
      </c>
      <c r="H305" s="174" t="s">
        <v>2622</v>
      </c>
      <c r="I305" s="174" t="s">
        <v>2623</v>
      </c>
      <c r="J305" s="174" t="s">
        <v>2624</v>
      </c>
      <c r="K305" s="174" t="s">
        <v>2625</v>
      </c>
      <c r="L305" s="174" t="s">
        <v>2626</v>
      </c>
      <c r="M305" s="174" t="s">
        <v>2627</v>
      </c>
      <c r="N305" s="174" t="s">
        <v>2628</v>
      </c>
      <c r="Y305" s="174" t="s">
        <v>2178</v>
      </c>
      <c r="Z305" s="174" t="s">
        <v>2030</v>
      </c>
      <c r="AA305" s="174" t="s">
        <v>2358</v>
      </c>
      <c r="AB305" s="174" t="s">
        <v>2211</v>
      </c>
      <c r="AC305" s="174" t="s">
        <v>2238</v>
      </c>
      <c r="AD305" s="174" t="s">
        <v>2160</v>
      </c>
      <c r="AE305" s="174" t="s">
        <v>2179</v>
      </c>
      <c r="AF305" s="174" t="s">
        <v>2515</v>
      </c>
      <c r="AG305" s="174" t="s">
        <v>2629</v>
      </c>
      <c r="AH305" s="174" t="s">
        <v>2354</v>
      </c>
      <c r="AI305" s="174" t="s">
        <v>2149</v>
      </c>
      <c r="AU305" s="174" t="s">
        <v>248</v>
      </c>
      <c r="AV305" s="174" t="s">
        <v>248</v>
      </c>
      <c r="AW305" s="174" t="s">
        <v>248</v>
      </c>
    </row>
    <row r="306" spans="5:49" ht="13.35" customHeight="1" x14ac:dyDescent="0.2">
      <c r="E306" s="221" t="s">
        <v>2630</v>
      </c>
      <c r="F306" s="174">
        <v>30</v>
      </c>
      <c r="G306" s="174" t="s">
        <v>206</v>
      </c>
      <c r="H306" s="174" t="s">
        <v>2631</v>
      </c>
      <c r="I306" s="174" t="s">
        <v>2632</v>
      </c>
      <c r="J306" s="174" t="s">
        <v>2633</v>
      </c>
      <c r="K306" s="174" t="s">
        <v>2634</v>
      </c>
      <c r="L306" s="174" t="s">
        <v>2635</v>
      </c>
      <c r="M306" s="174" t="s">
        <v>2636</v>
      </c>
      <c r="N306" s="174" t="s">
        <v>2637</v>
      </c>
      <c r="O306" s="174" t="s">
        <v>2638</v>
      </c>
      <c r="P306" s="174" t="s">
        <v>2639</v>
      </c>
      <c r="Q306" s="174" t="s">
        <v>2640</v>
      </c>
      <c r="R306" s="174" t="s">
        <v>2641</v>
      </c>
      <c r="Y306" s="174" t="s">
        <v>2411</v>
      </c>
      <c r="Z306" s="174" t="s">
        <v>2160</v>
      </c>
      <c r="AA306" s="174" t="s">
        <v>2258</v>
      </c>
      <c r="AB306" s="174" t="s">
        <v>2642</v>
      </c>
      <c r="AC306" s="174" t="s">
        <v>2643</v>
      </c>
      <c r="AD306" s="174" t="s">
        <v>2115</v>
      </c>
      <c r="AE306" s="174" t="s">
        <v>2400</v>
      </c>
      <c r="AF306" s="174" t="s">
        <v>2231</v>
      </c>
      <c r="AG306" s="174" t="s">
        <v>2644</v>
      </c>
      <c r="AH306" s="174" t="s">
        <v>2645</v>
      </c>
      <c r="AI306" s="174" t="s">
        <v>2139</v>
      </c>
      <c r="AJ306" s="174" t="s">
        <v>2117</v>
      </c>
      <c r="AK306" s="174" t="s">
        <v>2160</v>
      </c>
      <c r="AL306" s="174" t="s">
        <v>2568</v>
      </c>
      <c r="AM306" s="174" t="s">
        <v>2646</v>
      </c>
      <c r="AN306" s="174" t="s">
        <v>2566</v>
      </c>
      <c r="AO306" s="174" t="s">
        <v>2647</v>
      </c>
      <c r="AP306" s="174" t="s">
        <v>2212</v>
      </c>
      <c r="AQ306" s="174" t="s">
        <v>2648</v>
      </c>
      <c r="AU306" s="174" t="s">
        <v>2649</v>
      </c>
      <c r="AV306" s="174" t="s">
        <v>2650</v>
      </c>
      <c r="AW306" s="174" t="s">
        <v>248</v>
      </c>
    </row>
    <row r="307" spans="5:49" ht="13.35" customHeight="1" x14ac:dyDescent="0.2">
      <c r="E307" s="221" t="s">
        <v>2651</v>
      </c>
      <c r="F307" s="174">
        <v>56</v>
      </c>
      <c r="G307" s="174" t="s">
        <v>206</v>
      </c>
      <c r="H307" s="174" t="s">
        <v>2652</v>
      </c>
      <c r="I307" s="174" t="s">
        <v>2653</v>
      </c>
      <c r="J307" s="174" t="s">
        <v>2654</v>
      </c>
      <c r="K307" s="174" t="s">
        <v>2655</v>
      </c>
      <c r="L307" s="174" t="s">
        <v>2656</v>
      </c>
      <c r="M307" s="174" t="s">
        <v>2657</v>
      </c>
      <c r="N307" s="174" t="s">
        <v>2658</v>
      </c>
      <c r="O307" s="174" t="s">
        <v>2659</v>
      </c>
      <c r="P307" s="174" t="s">
        <v>2660</v>
      </c>
      <c r="Y307" s="174" t="s">
        <v>2226</v>
      </c>
      <c r="Z307" s="174" t="s">
        <v>2342</v>
      </c>
      <c r="AA307" s="174" t="s">
        <v>2117</v>
      </c>
      <c r="AB307" s="174" t="s">
        <v>2661</v>
      </c>
      <c r="AC307" s="174" t="s">
        <v>2662</v>
      </c>
      <c r="AD307" s="174" t="s">
        <v>2286</v>
      </c>
      <c r="AE307" s="174" t="s">
        <v>2598</v>
      </c>
      <c r="AF307" s="174" t="s">
        <v>2663</v>
      </c>
      <c r="AU307" s="174" t="s">
        <v>248</v>
      </c>
      <c r="AV307" s="174" t="s">
        <v>2664</v>
      </c>
      <c r="AW307" s="174" t="s">
        <v>248</v>
      </c>
    </row>
    <row r="308" spans="5:49" ht="13.35" customHeight="1" x14ac:dyDescent="0.2">
      <c r="E308" s="221" t="s">
        <v>2665</v>
      </c>
      <c r="F308" s="174">
        <v>104</v>
      </c>
      <c r="G308" s="174" t="s">
        <v>2013</v>
      </c>
      <c r="H308" s="174" t="s">
        <v>2666</v>
      </c>
      <c r="I308" s="174" t="s">
        <v>2667</v>
      </c>
      <c r="J308" s="174" t="s">
        <v>2668</v>
      </c>
      <c r="K308" s="174" t="s">
        <v>2669</v>
      </c>
      <c r="L308" s="174" t="s">
        <v>2670</v>
      </c>
      <c r="M308" s="174" t="s">
        <v>2671</v>
      </c>
      <c r="N308" s="174" t="s">
        <v>2672</v>
      </c>
      <c r="O308" s="174" t="s">
        <v>2673</v>
      </c>
      <c r="P308" s="174" t="s">
        <v>2674</v>
      </c>
      <c r="Q308" s="174" t="s">
        <v>2675</v>
      </c>
      <c r="Y308" s="174" t="s">
        <v>2559</v>
      </c>
      <c r="Z308" s="174" t="s">
        <v>2676</v>
      </c>
      <c r="AA308" s="174" t="s">
        <v>2187</v>
      </c>
      <c r="AB308" s="174" t="s">
        <v>2049</v>
      </c>
      <c r="AC308" s="174" t="s">
        <v>2677</v>
      </c>
      <c r="AD308" s="174" t="s">
        <v>2139</v>
      </c>
      <c r="AE308" s="174" t="s">
        <v>2238</v>
      </c>
      <c r="AF308" s="174" t="s">
        <v>2160</v>
      </c>
      <c r="AG308" s="174" t="s">
        <v>2678</v>
      </c>
      <c r="AH308" s="174" t="s">
        <v>2679</v>
      </c>
      <c r="AI308" s="174" t="s">
        <v>2224</v>
      </c>
      <c r="AJ308" s="174" t="s">
        <v>2676</v>
      </c>
      <c r="AU308" s="174" t="s">
        <v>248</v>
      </c>
      <c r="AV308" s="174" t="s">
        <v>248</v>
      </c>
      <c r="AW308" s="174" t="s">
        <v>248</v>
      </c>
    </row>
    <row r="309" spans="5:49" ht="13.35" customHeight="1" x14ac:dyDescent="0.2">
      <c r="E309" s="221" t="s">
        <v>2680</v>
      </c>
      <c r="F309" s="174">
        <v>57</v>
      </c>
      <c r="G309" s="174" t="s">
        <v>206</v>
      </c>
      <c r="H309" s="174" t="s">
        <v>2681</v>
      </c>
      <c r="I309" s="174" t="s">
        <v>2254</v>
      </c>
      <c r="J309" s="174" t="s">
        <v>2682</v>
      </c>
      <c r="K309" s="174" t="s">
        <v>2683</v>
      </c>
      <c r="L309" s="174" t="s">
        <v>2684</v>
      </c>
      <c r="M309" s="174" t="s">
        <v>2685</v>
      </c>
      <c r="N309" s="174" t="s">
        <v>2684</v>
      </c>
      <c r="O309" s="174" t="s">
        <v>2686</v>
      </c>
      <c r="P309" s="174" t="s">
        <v>2687</v>
      </c>
      <c r="Y309" s="174" t="s">
        <v>2532</v>
      </c>
      <c r="Z309" s="174" t="s">
        <v>2688</v>
      </c>
      <c r="AA309" s="174" t="s">
        <v>2115</v>
      </c>
      <c r="AB309" s="174" t="s">
        <v>2689</v>
      </c>
      <c r="AC309" s="174" t="s">
        <v>2259</v>
      </c>
      <c r="AD309" s="174" t="s">
        <v>2690</v>
      </c>
      <c r="AE309" s="174" t="s">
        <v>2358</v>
      </c>
      <c r="AF309" s="174" t="s">
        <v>2400</v>
      </c>
      <c r="AH309" s="174" t="s">
        <v>2048</v>
      </c>
      <c r="AI309" s="174" t="s">
        <v>2139</v>
      </c>
      <c r="AJ309" s="174" t="s">
        <v>2454</v>
      </c>
      <c r="AK309" s="174" t="s">
        <v>2691</v>
      </c>
      <c r="AU309" s="174" t="s">
        <v>248</v>
      </c>
      <c r="AV309" s="174" t="s">
        <v>629</v>
      </c>
      <c r="AW309" s="174" t="s">
        <v>248</v>
      </c>
    </row>
    <row r="310" spans="5:49" ht="13.35" customHeight="1" x14ac:dyDescent="0.2">
      <c r="E310" s="221" t="s">
        <v>2692</v>
      </c>
      <c r="F310" s="174">
        <v>42</v>
      </c>
      <c r="G310" s="174" t="s">
        <v>206</v>
      </c>
      <c r="H310" s="174" t="s">
        <v>2693</v>
      </c>
      <c r="I310" s="174" t="s">
        <v>2694</v>
      </c>
      <c r="J310" s="174" t="s">
        <v>2695</v>
      </c>
      <c r="K310" s="174" t="s">
        <v>2696</v>
      </c>
      <c r="L310" s="174" t="s">
        <v>2696</v>
      </c>
      <c r="M310" s="174" t="s">
        <v>2697</v>
      </c>
      <c r="N310" s="174" t="s">
        <v>2698</v>
      </c>
      <c r="O310" s="174" t="s">
        <v>2699</v>
      </c>
      <c r="Y310" s="174" t="s">
        <v>2115</v>
      </c>
      <c r="Z310" s="174" t="s">
        <v>2314</v>
      </c>
      <c r="AA310" s="174" t="s">
        <v>2117</v>
      </c>
      <c r="AB310" s="174" t="s">
        <v>2700</v>
      </c>
      <c r="AC310" s="174" t="s">
        <v>2701</v>
      </c>
      <c r="AD310" s="174" t="s">
        <v>2702</v>
      </c>
      <c r="AE310" s="174" t="s">
        <v>2598</v>
      </c>
      <c r="AF310" s="174" t="s">
        <v>2703</v>
      </c>
      <c r="AU310" s="174" t="s">
        <v>248</v>
      </c>
      <c r="AV310" s="174" t="s">
        <v>248</v>
      </c>
      <c r="AW310" s="174" t="s">
        <v>248</v>
      </c>
    </row>
    <row r="311" spans="5:49" ht="13.35" customHeight="1" x14ac:dyDescent="0.2">
      <c r="E311" s="221" t="s">
        <v>2704</v>
      </c>
      <c r="F311" s="174">
        <v>39</v>
      </c>
      <c r="G311" s="174" t="s">
        <v>206</v>
      </c>
      <c r="H311" s="174" t="s">
        <v>2705</v>
      </c>
      <c r="I311" s="174" t="s">
        <v>2706</v>
      </c>
      <c r="J311" s="174" t="s">
        <v>2707</v>
      </c>
      <c r="K311" s="174" t="s">
        <v>2708</v>
      </c>
      <c r="L311" s="174" t="s">
        <v>2709</v>
      </c>
      <c r="M311" s="174" t="s">
        <v>2710</v>
      </c>
      <c r="N311" s="174" t="s">
        <v>2711</v>
      </c>
      <c r="O311" s="174" t="s">
        <v>2712</v>
      </c>
      <c r="P311" s="174" t="s">
        <v>2713</v>
      </c>
      <c r="Y311" s="174" t="s">
        <v>2048</v>
      </c>
      <c r="Z311" s="174" t="s">
        <v>2344</v>
      </c>
      <c r="AA311" s="174" t="s">
        <v>2119</v>
      </c>
      <c r="AB311" s="174" t="s">
        <v>2701</v>
      </c>
      <c r="AC311" s="174" t="s">
        <v>2714</v>
      </c>
      <c r="AD311" s="174" t="s">
        <v>2715</v>
      </c>
      <c r="AE311" s="174" t="s">
        <v>2716</v>
      </c>
      <c r="AU311" s="174" t="s">
        <v>2717</v>
      </c>
      <c r="AV311" s="174" t="s">
        <v>633</v>
      </c>
      <c r="AW311" s="174" t="s">
        <v>248</v>
      </c>
    </row>
    <row r="312" spans="5:49" ht="13.35" customHeight="1" x14ac:dyDescent="0.2">
      <c r="E312" s="221" t="s">
        <v>2718</v>
      </c>
      <c r="F312" s="174">
        <v>114</v>
      </c>
      <c r="G312" s="174" t="s">
        <v>206</v>
      </c>
      <c r="H312" s="174" t="s">
        <v>2719</v>
      </c>
      <c r="I312" s="174" t="s">
        <v>2720</v>
      </c>
      <c r="J312" s="174" t="s">
        <v>2721</v>
      </c>
      <c r="K312" s="174" t="s">
        <v>2722</v>
      </c>
      <c r="L312" s="174" t="s">
        <v>2723</v>
      </c>
      <c r="M312" s="174" t="s">
        <v>2724</v>
      </c>
      <c r="N312" s="174" t="s">
        <v>2725</v>
      </c>
      <c r="O312" s="174" t="s">
        <v>2045</v>
      </c>
      <c r="Y312" s="174" t="s">
        <v>2258</v>
      </c>
      <c r="Z312" s="174" t="s">
        <v>2726</v>
      </c>
      <c r="AA312" s="174" t="s">
        <v>2259</v>
      </c>
      <c r="AB312" s="174" t="s">
        <v>2727</v>
      </c>
      <c r="AC312" s="174" t="s">
        <v>2162</v>
      </c>
      <c r="AD312" s="174" t="s">
        <v>2160</v>
      </c>
      <c r="AE312" s="174" t="s">
        <v>2399</v>
      </c>
      <c r="AF312" s="174" t="s">
        <v>2211</v>
      </c>
      <c r="AG312" s="174" t="s">
        <v>2398</v>
      </c>
      <c r="AH312" s="174" t="s">
        <v>2139</v>
      </c>
      <c r="AI312" s="174" t="s">
        <v>2566</v>
      </c>
      <c r="AJ312" s="174" t="s">
        <v>2032</v>
      </c>
      <c r="AK312" s="174" t="s">
        <v>2728</v>
      </c>
      <c r="AL312" s="174" t="s">
        <v>2729</v>
      </c>
      <c r="AM312" s="174" t="s">
        <v>2730</v>
      </c>
      <c r="AU312" s="174" t="s">
        <v>2731</v>
      </c>
      <c r="AV312" s="174" t="s">
        <v>629</v>
      </c>
      <c r="AW312" s="174" t="s">
        <v>248</v>
      </c>
    </row>
    <row r="313" spans="5:49" ht="13.35" customHeight="1" x14ac:dyDescent="0.2">
      <c r="E313" s="221" t="s">
        <v>2732</v>
      </c>
      <c r="F313" s="174">
        <v>105</v>
      </c>
      <c r="G313" s="174" t="s">
        <v>206</v>
      </c>
      <c r="H313" s="174" t="s">
        <v>2733</v>
      </c>
      <c r="I313" s="174" t="s">
        <v>2734</v>
      </c>
      <c r="J313" s="174" t="s">
        <v>2735</v>
      </c>
      <c r="K313" s="174" t="s">
        <v>2736</v>
      </c>
      <c r="L313" s="174" t="s">
        <v>2737</v>
      </c>
      <c r="M313" s="174" t="s">
        <v>2738</v>
      </c>
      <c r="N313" s="174" t="s">
        <v>2739</v>
      </c>
      <c r="O313" s="174" t="s">
        <v>2579</v>
      </c>
      <c r="Y313" s="174" t="s">
        <v>2740</v>
      </c>
      <c r="Z313" s="174" t="s">
        <v>2741</v>
      </c>
      <c r="AA313" s="174" t="s">
        <v>2499</v>
      </c>
      <c r="AB313" s="174" t="s">
        <v>2676</v>
      </c>
      <c r="AC313" s="174" t="s">
        <v>2491</v>
      </c>
      <c r="AD313" s="174" t="s">
        <v>2691</v>
      </c>
      <c r="AE313" s="174" t="s">
        <v>2581</v>
      </c>
      <c r="AF313" s="174" t="s">
        <v>2742</v>
      </c>
      <c r="AG313" s="174" t="s">
        <v>2743</v>
      </c>
      <c r="AH313" s="174" t="s">
        <v>2047</v>
      </c>
      <c r="AU313" s="174" t="s">
        <v>2584</v>
      </c>
      <c r="AV313" s="174" t="s">
        <v>248</v>
      </c>
      <c r="AW313" s="174" t="s">
        <v>248</v>
      </c>
    </row>
    <row r="314" spans="5:49" ht="13.35" customHeight="1" x14ac:dyDescent="0.2">
      <c r="E314" s="221" t="s">
        <v>2744</v>
      </c>
      <c r="F314" s="174">
        <v>64</v>
      </c>
      <c r="G314" s="174" t="s">
        <v>206</v>
      </c>
      <c r="H314" s="174" t="s">
        <v>2745</v>
      </c>
      <c r="I314" s="174" t="s">
        <v>2746</v>
      </c>
      <c r="J314" s="174" t="s">
        <v>2667</v>
      </c>
      <c r="K314" s="174" t="s">
        <v>2747</v>
      </c>
      <c r="L314" s="174" t="s">
        <v>2748</v>
      </c>
      <c r="M314" s="174" t="s">
        <v>2666</v>
      </c>
      <c r="N314" s="174" t="s">
        <v>2749</v>
      </c>
      <c r="O314" s="174" t="s">
        <v>2750</v>
      </c>
      <c r="Y314" s="174" t="s">
        <v>2751</v>
      </c>
      <c r="Z314" s="174" t="s">
        <v>2199</v>
      </c>
      <c r="AA314" s="174" t="s">
        <v>2752</v>
      </c>
      <c r="AB314" s="174" t="s">
        <v>2753</v>
      </c>
      <c r="AC314" s="174" t="s">
        <v>2071</v>
      </c>
      <c r="AD314" s="174" t="s">
        <v>2754</v>
      </c>
      <c r="AE314" s="174" t="s">
        <v>2755</v>
      </c>
      <c r="AF314" s="174" t="s">
        <v>2756</v>
      </c>
      <c r="AG314" s="174" t="s">
        <v>2031</v>
      </c>
      <c r="AH314" s="174" t="s">
        <v>2757</v>
      </c>
      <c r="AI314" s="174" t="s">
        <v>2212</v>
      </c>
      <c r="AJ314" s="174" t="s">
        <v>2758</v>
      </c>
      <c r="AK314" s="174" t="s">
        <v>2759</v>
      </c>
      <c r="AL314" s="174" t="s">
        <v>2760</v>
      </c>
      <c r="AM314" s="174" t="s">
        <v>2761</v>
      </c>
      <c r="AN314" s="174" t="s">
        <v>2292</v>
      </c>
      <c r="AO314" s="174" t="s">
        <v>2762</v>
      </c>
      <c r="AU314" s="174" t="s">
        <v>2763</v>
      </c>
      <c r="AV314" s="174" t="s">
        <v>1703</v>
      </c>
      <c r="AW314" s="174" t="s">
        <v>248</v>
      </c>
    </row>
    <row r="315" spans="5:49" ht="13.35" customHeight="1" x14ac:dyDescent="0.2">
      <c r="E315" s="221" t="s">
        <v>2764</v>
      </c>
      <c r="F315" s="174">
        <v>129</v>
      </c>
      <c r="G315" s="174" t="s">
        <v>2261</v>
      </c>
      <c r="H315" s="174" t="s">
        <v>2765</v>
      </c>
      <c r="I315" s="174" t="s">
        <v>2766</v>
      </c>
      <c r="J315" s="174" t="s">
        <v>2767</v>
      </c>
      <c r="K315" s="174" t="s">
        <v>2768</v>
      </c>
      <c r="L315" s="174" t="s">
        <v>2769</v>
      </c>
      <c r="M315" s="174" t="s">
        <v>2770</v>
      </c>
      <c r="N315" s="174" t="s">
        <v>2771</v>
      </c>
      <c r="O315" s="174" t="s">
        <v>2772</v>
      </c>
      <c r="Y315" s="174" t="s">
        <v>2258</v>
      </c>
      <c r="Z315" s="174" t="s">
        <v>2773</v>
      </c>
      <c r="AA315" s="174" t="s">
        <v>2162</v>
      </c>
      <c r="AB315" s="174" t="s">
        <v>2774</v>
      </c>
      <c r="AC315" s="174" t="s">
        <v>2775</v>
      </c>
      <c r="AD315" s="174" t="s">
        <v>2210</v>
      </c>
      <c r="AE315" s="174" t="s">
        <v>2776</v>
      </c>
      <c r="AF315" s="174" t="s">
        <v>2160</v>
      </c>
      <c r="AG315" s="174" t="s">
        <v>2469</v>
      </c>
      <c r="AH315" s="174" t="s">
        <v>2160</v>
      </c>
      <c r="AI315" s="174" t="s">
        <v>2031</v>
      </c>
      <c r="AJ315" s="174" t="s">
        <v>2777</v>
      </c>
      <c r="AK315" s="174" t="s">
        <v>2759</v>
      </c>
      <c r="AL315" s="174" t="s">
        <v>2778</v>
      </c>
      <c r="AM315" s="174" t="s">
        <v>2236</v>
      </c>
      <c r="AN315" s="174" t="s">
        <v>2139</v>
      </c>
      <c r="AU315" s="174" t="s">
        <v>248</v>
      </c>
      <c r="AV315" s="174" t="s">
        <v>2779</v>
      </c>
      <c r="AW315" s="174" t="s">
        <v>225</v>
      </c>
    </row>
    <row r="316" spans="5:49" ht="13.35" customHeight="1" x14ac:dyDescent="0.2">
      <c r="E316" s="221" t="s">
        <v>2780</v>
      </c>
      <c r="F316" s="174">
        <v>55</v>
      </c>
      <c r="G316" s="174" t="s">
        <v>206</v>
      </c>
      <c r="H316" s="174" t="s">
        <v>2781</v>
      </c>
      <c r="I316" s="174" t="s">
        <v>2782</v>
      </c>
      <c r="J316" s="174" t="s">
        <v>2783</v>
      </c>
      <c r="K316" s="174" t="s">
        <v>2784</v>
      </c>
      <c r="L316" s="174" t="s">
        <v>2785</v>
      </c>
      <c r="Y316" s="174" t="s">
        <v>2786</v>
      </c>
      <c r="Z316" s="174" t="s">
        <v>2787</v>
      </c>
      <c r="AA316" s="174" t="s">
        <v>2030</v>
      </c>
      <c r="AB316" s="174" t="s">
        <v>2199</v>
      </c>
      <c r="AC316" s="174" t="s">
        <v>2788</v>
      </c>
      <c r="AD316" s="174" t="s">
        <v>2789</v>
      </c>
      <c r="AE316" s="174" t="s">
        <v>2162</v>
      </c>
      <c r="AF316" s="174" t="s">
        <v>2774</v>
      </c>
      <c r="AG316" s="174" t="s">
        <v>2775</v>
      </c>
      <c r="AH316" s="174" t="s">
        <v>2566</v>
      </c>
      <c r="AI316" s="174" t="s">
        <v>2777</v>
      </c>
      <c r="AJ316" s="174" t="s">
        <v>2202</v>
      </c>
      <c r="AK316" s="174" t="s">
        <v>2790</v>
      </c>
      <c r="AL316" s="174" t="s">
        <v>2354</v>
      </c>
      <c r="AM316" s="174" t="s">
        <v>2139</v>
      </c>
      <c r="AU316" s="174" t="s">
        <v>248</v>
      </c>
      <c r="AV316" s="174" t="s">
        <v>248</v>
      </c>
      <c r="AW316" s="174" t="s">
        <v>248</v>
      </c>
    </row>
    <row r="317" spans="5:49" ht="13.35" customHeight="1" x14ac:dyDescent="0.2">
      <c r="E317" s="221" t="s">
        <v>2791</v>
      </c>
      <c r="F317" s="174">
        <v>51</v>
      </c>
      <c r="G317" s="174" t="s">
        <v>206</v>
      </c>
      <c r="H317" s="174" t="s">
        <v>2792</v>
      </c>
      <c r="I317" s="174" t="s">
        <v>2793</v>
      </c>
      <c r="J317" s="174" t="s">
        <v>2794</v>
      </c>
      <c r="K317" s="174" t="s">
        <v>2283</v>
      </c>
      <c r="L317" s="174" t="s">
        <v>2795</v>
      </c>
      <c r="M317" s="174" t="s">
        <v>2796</v>
      </c>
      <c r="N317" s="174" t="s">
        <v>2797</v>
      </c>
      <c r="O317" s="174" t="s">
        <v>2798</v>
      </c>
      <c r="P317" s="174" t="s">
        <v>2799</v>
      </c>
      <c r="Y317" s="174" t="s">
        <v>2559</v>
      </c>
      <c r="Z317" s="174" t="s">
        <v>2754</v>
      </c>
      <c r="AA317" s="174" t="s">
        <v>2775</v>
      </c>
      <c r="AB317" s="174" t="s">
        <v>2568</v>
      </c>
      <c r="AC317" s="174" t="s">
        <v>2800</v>
      </c>
      <c r="AD317" s="174" t="s">
        <v>2801</v>
      </c>
      <c r="AE317" s="174" t="s">
        <v>2802</v>
      </c>
      <c r="AF317" s="174" t="s">
        <v>2583</v>
      </c>
      <c r="AG317" s="174" t="s">
        <v>2803</v>
      </c>
      <c r="AH317" s="174" t="s">
        <v>2804</v>
      </c>
      <c r="AI317" s="174" t="s">
        <v>2805</v>
      </c>
      <c r="AJ317" s="174" t="s">
        <v>2806</v>
      </c>
      <c r="AK317" s="174" t="s">
        <v>2289</v>
      </c>
      <c r="AL317" s="174" t="s">
        <v>2165</v>
      </c>
      <c r="AM317" s="174" t="s">
        <v>2344</v>
      </c>
      <c r="AU317" s="174" t="s">
        <v>248</v>
      </c>
      <c r="AV317" s="174" t="s">
        <v>248</v>
      </c>
      <c r="AW317" s="174" t="s">
        <v>248</v>
      </c>
    </row>
    <row r="318" spans="5:49" ht="13.35" customHeight="1" x14ac:dyDescent="0.2">
      <c r="E318" s="221" t="s">
        <v>2807</v>
      </c>
      <c r="F318" s="174">
        <v>127</v>
      </c>
      <c r="G318" s="174" t="s">
        <v>206</v>
      </c>
      <c r="H318" s="174" t="s">
        <v>2808</v>
      </c>
      <c r="I318" s="174" t="s">
        <v>2809</v>
      </c>
      <c r="J318" s="174" t="s">
        <v>2666</v>
      </c>
      <c r="K318" s="174" t="s">
        <v>2487</v>
      </c>
      <c r="L318" s="174" t="s">
        <v>2810</v>
      </c>
      <c r="M318" s="174" t="s">
        <v>2811</v>
      </c>
      <c r="Y318" s="174" t="s">
        <v>2559</v>
      </c>
      <c r="Z318" s="174" t="s">
        <v>2812</v>
      </c>
      <c r="AA318" s="174" t="s">
        <v>2755</v>
      </c>
      <c r="AB318" s="174" t="s">
        <v>2775</v>
      </c>
      <c r="AC318" s="174" t="s">
        <v>2050</v>
      </c>
      <c r="AD318" s="174" t="s">
        <v>2647</v>
      </c>
      <c r="AE318" s="174" t="s">
        <v>2212</v>
      </c>
      <c r="AF318" s="174" t="s">
        <v>2813</v>
      </c>
      <c r="AG318" s="174" t="s">
        <v>2144</v>
      </c>
      <c r="AH318" s="174" t="s">
        <v>2814</v>
      </c>
      <c r="AI318" s="174" t="s">
        <v>2815</v>
      </c>
      <c r="AJ318" s="174" t="s">
        <v>2816</v>
      </c>
      <c r="AK318" s="174" t="s">
        <v>2817</v>
      </c>
      <c r="AL318" s="174" t="s">
        <v>2801</v>
      </c>
      <c r="AM318" s="174" t="s">
        <v>2818</v>
      </c>
      <c r="AN318" s="174" t="s">
        <v>2778</v>
      </c>
      <c r="AU318" s="174" t="s">
        <v>2819</v>
      </c>
      <c r="AV318" s="174" t="s">
        <v>650</v>
      </c>
      <c r="AW318" s="174" t="s">
        <v>248</v>
      </c>
    </row>
    <row r="319" spans="5:49" ht="13.35" customHeight="1" x14ac:dyDescent="0.2">
      <c r="E319" s="221" t="s">
        <v>2820</v>
      </c>
      <c r="F319" s="174">
        <v>63</v>
      </c>
      <c r="G319" s="174" t="s">
        <v>206</v>
      </c>
      <c r="H319" s="174" t="s">
        <v>2808</v>
      </c>
      <c r="I319" s="174" t="s">
        <v>2746</v>
      </c>
      <c r="J319" s="174" t="s">
        <v>2821</v>
      </c>
      <c r="K319" s="174" t="s">
        <v>2748</v>
      </c>
      <c r="L319" s="174" t="s">
        <v>2822</v>
      </c>
      <c r="M319" s="174" t="s">
        <v>2823</v>
      </c>
      <c r="N319" s="174" t="s">
        <v>2824</v>
      </c>
      <c r="O319" s="174" t="s">
        <v>2825</v>
      </c>
      <c r="P319" s="174" t="s">
        <v>2811</v>
      </c>
      <c r="Y319" s="174" t="s">
        <v>2452</v>
      </c>
      <c r="Z319" s="174" t="s">
        <v>2047</v>
      </c>
      <c r="AA319" s="174" t="s">
        <v>2408</v>
      </c>
      <c r="AB319" s="174" t="s">
        <v>2644</v>
      </c>
      <c r="AC319" s="174" t="s">
        <v>2753</v>
      </c>
      <c r="AD319" s="174" t="s">
        <v>2826</v>
      </c>
      <c r="AE319" s="174" t="s">
        <v>2358</v>
      </c>
      <c r="AF319" s="174" t="s">
        <v>2754</v>
      </c>
      <c r="AG319" s="174" t="s">
        <v>2755</v>
      </c>
      <c r="AH319" s="174" t="s">
        <v>2775</v>
      </c>
      <c r="AI319" s="174" t="s">
        <v>2212</v>
      </c>
      <c r="AJ319" s="174" t="s">
        <v>2758</v>
      </c>
      <c r="AK319" s="174" t="s">
        <v>2801</v>
      </c>
      <c r="AL319" s="174" t="s">
        <v>2827</v>
      </c>
      <c r="AM319" s="174" t="s">
        <v>2778</v>
      </c>
      <c r="AN319" s="174" t="s">
        <v>2292</v>
      </c>
      <c r="AO319" s="174" t="s">
        <v>2828</v>
      </c>
      <c r="AU319" s="174" t="s">
        <v>2829</v>
      </c>
      <c r="AV319" s="174" t="s">
        <v>1703</v>
      </c>
      <c r="AW319" s="174" t="s">
        <v>248</v>
      </c>
    </row>
    <row r="320" spans="5:49" ht="13.35" customHeight="1" x14ac:dyDescent="0.2">
      <c r="E320" s="221" t="s">
        <v>2830</v>
      </c>
      <c r="F320" s="174">
        <v>149</v>
      </c>
      <c r="G320" s="174" t="s">
        <v>206</v>
      </c>
      <c r="H320" s="174" t="s">
        <v>2808</v>
      </c>
      <c r="I320" s="174" t="s">
        <v>2831</v>
      </c>
      <c r="J320" s="174" t="s">
        <v>2666</v>
      </c>
      <c r="K320" s="174" t="s">
        <v>2832</v>
      </c>
      <c r="L320" s="174" t="s">
        <v>2748</v>
      </c>
      <c r="M320" s="174" t="s">
        <v>2833</v>
      </c>
      <c r="N320" s="174" t="s">
        <v>2834</v>
      </c>
      <c r="O320" s="174" t="s">
        <v>2487</v>
      </c>
      <c r="P320" s="174" t="s">
        <v>2811</v>
      </c>
      <c r="Y320" s="174" t="s">
        <v>2835</v>
      </c>
      <c r="Z320" s="174" t="s">
        <v>2836</v>
      </c>
      <c r="AA320" s="174" t="s">
        <v>2837</v>
      </c>
      <c r="AB320" s="174" t="s">
        <v>2838</v>
      </c>
      <c r="AC320" s="174" t="s">
        <v>2839</v>
      </c>
      <c r="AD320" s="174" t="s">
        <v>2690</v>
      </c>
      <c r="AE320" s="174" t="s">
        <v>2752</v>
      </c>
      <c r="AF320" s="174" t="s">
        <v>2753</v>
      </c>
      <c r="AG320" s="174" t="s">
        <v>2358</v>
      </c>
      <c r="AH320" s="174" t="s">
        <v>2840</v>
      </c>
      <c r="AI320" s="174" t="s">
        <v>2841</v>
      </c>
      <c r="AJ320" s="174" t="s">
        <v>2775</v>
      </c>
      <c r="AK320" s="174" t="s">
        <v>2067</v>
      </c>
      <c r="AL320" s="174" t="s">
        <v>2842</v>
      </c>
      <c r="AM320" s="174" t="s">
        <v>2843</v>
      </c>
      <c r="AN320" s="174" t="s">
        <v>2139</v>
      </c>
      <c r="AO320" s="174" t="s">
        <v>2212</v>
      </c>
      <c r="AP320" s="174" t="s">
        <v>2758</v>
      </c>
      <c r="AQ320" s="174" t="s">
        <v>2801</v>
      </c>
      <c r="AR320" s="174" t="s">
        <v>2844</v>
      </c>
      <c r="AU320" s="174" t="s">
        <v>248</v>
      </c>
      <c r="AV320" s="174" t="s">
        <v>553</v>
      </c>
      <c r="AW320" s="174" t="s">
        <v>235</v>
      </c>
    </row>
    <row r="321" spans="5:49" ht="13.35" customHeight="1" x14ac:dyDescent="0.2">
      <c r="E321" s="221" t="s">
        <v>2845</v>
      </c>
      <c r="F321" s="174">
        <v>121</v>
      </c>
      <c r="G321" s="174" t="s">
        <v>206</v>
      </c>
      <c r="H321" s="174" t="s">
        <v>2846</v>
      </c>
      <c r="I321" s="174" t="s">
        <v>2847</v>
      </c>
      <c r="J321" s="174" t="s">
        <v>2848</v>
      </c>
      <c r="K321" s="174" t="s">
        <v>2849</v>
      </c>
      <c r="L321" s="174" t="s">
        <v>2850</v>
      </c>
      <c r="M321" s="174" t="s">
        <v>2851</v>
      </c>
      <c r="N321" s="174" t="s">
        <v>2487</v>
      </c>
      <c r="P321" s="174" t="s">
        <v>2811</v>
      </c>
      <c r="Y321" s="174" t="s">
        <v>2438</v>
      </c>
      <c r="Z321" s="174" t="s">
        <v>2139</v>
      </c>
      <c r="AA321" s="174" t="s">
        <v>2019</v>
      </c>
      <c r="AB321" s="174" t="s">
        <v>2020</v>
      </c>
      <c r="AC321" s="174" t="s">
        <v>2071</v>
      </c>
      <c r="AD321" s="174" t="s">
        <v>2840</v>
      </c>
      <c r="AE321" s="174" t="s">
        <v>2812</v>
      </c>
      <c r="AF321" s="174" t="s">
        <v>2775</v>
      </c>
      <c r="AG321" s="174" t="s">
        <v>2521</v>
      </c>
      <c r="AH321" s="174" t="s">
        <v>2842</v>
      </c>
      <c r="AI321" s="174" t="s">
        <v>2843</v>
      </c>
      <c r="AJ321" s="174" t="s">
        <v>2139</v>
      </c>
      <c r="AK321" s="174" t="s">
        <v>2212</v>
      </c>
      <c r="AL321" s="174" t="s">
        <v>2758</v>
      </c>
      <c r="AM321" s="174" t="s">
        <v>2801</v>
      </c>
      <c r="AN321" s="174" t="s">
        <v>2761</v>
      </c>
      <c r="AO321" s="174" t="s">
        <v>2236</v>
      </c>
      <c r="AP321" s="174" t="s">
        <v>2139</v>
      </c>
      <c r="AU321" s="174" t="s">
        <v>248</v>
      </c>
      <c r="AV321" s="174" t="s">
        <v>248</v>
      </c>
      <c r="AW321" s="174" t="s">
        <v>248</v>
      </c>
    </row>
    <row r="322" spans="5:49" ht="13.35" customHeight="1" x14ac:dyDescent="0.2">
      <c r="E322" s="221" t="s">
        <v>2852</v>
      </c>
      <c r="F322" s="174">
        <v>95</v>
      </c>
      <c r="G322" s="174" t="s">
        <v>206</v>
      </c>
      <c r="H322" s="174" t="s">
        <v>2853</v>
      </c>
      <c r="I322" s="174" t="s">
        <v>2854</v>
      </c>
      <c r="J322" s="174" t="s">
        <v>2855</v>
      </c>
      <c r="K322" s="174" t="s">
        <v>2856</v>
      </c>
      <c r="L322" s="174" t="s">
        <v>2857</v>
      </c>
      <c r="M322" s="174" t="s">
        <v>2858</v>
      </c>
      <c r="N322" s="174" t="s">
        <v>2859</v>
      </c>
      <c r="Y322" s="174" t="s">
        <v>2324</v>
      </c>
      <c r="Z322" s="174" t="s">
        <v>2047</v>
      </c>
      <c r="AA322" s="174" t="s">
        <v>2860</v>
      </c>
      <c r="AB322" s="174" t="s">
        <v>2139</v>
      </c>
      <c r="AC322" s="174" t="s">
        <v>2019</v>
      </c>
      <c r="AD322" s="174" t="s">
        <v>2020</v>
      </c>
      <c r="AE322" s="174" t="s">
        <v>2162</v>
      </c>
      <c r="AF322" s="174" t="s">
        <v>2812</v>
      </c>
      <c r="AG322" s="174" t="s">
        <v>2775</v>
      </c>
      <c r="AH322" s="174" t="s">
        <v>2398</v>
      </c>
      <c r="AI322" s="174" t="s">
        <v>2861</v>
      </c>
      <c r="AJ322" s="174" t="s">
        <v>2801</v>
      </c>
      <c r="AK322" s="174" t="s">
        <v>2862</v>
      </c>
      <c r="AL322" s="174" t="s">
        <v>2863</v>
      </c>
      <c r="AM322" s="174" t="s">
        <v>2047</v>
      </c>
      <c r="AN322" s="174" t="s">
        <v>2864</v>
      </c>
      <c r="AO322" s="174" t="s">
        <v>2139</v>
      </c>
      <c r="AU322" s="174" t="s">
        <v>248</v>
      </c>
      <c r="AV322" s="174" t="s">
        <v>248</v>
      </c>
      <c r="AW322" s="174" t="s">
        <v>2150</v>
      </c>
    </row>
    <row r="323" spans="5:49" ht="13.35" customHeight="1" x14ac:dyDescent="0.2">
      <c r="E323" s="221" t="s">
        <v>2865</v>
      </c>
      <c r="F323" s="174">
        <v>94</v>
      </c>
      <c r="G323" s="174" t="s">
        <v>206</v>
      </c>
      <c r="H323" s="174" t="s">
        <v>2853</v>
      </c>
      <c r="I323" s="174" t="s">
        <v>2854</v>
      </c>
      <c r="J323" s="174" t="s">
        <v>2866</v>
      </c>
      <c r="K323" s="174" t="s">
        <v>2848</v>
      </c>
      <c r="L323" s="174" t="s">
        <v>2867</v>
      </c>
      <c r="M323" s="174" t="s">
        <v>2868</v>
      </c>
      <c r="N323" s="174" t="s">
        <v>2869</v>
      </c>
      <c r="O323" s="174" t="s">
        <v>2859</v>
      </c>
      <c r="Y323" s="174" t="s">
        <v>2870</v>
      </c>
      <c r="Z323" s="174" t="s">
        <v>2047</v>
      </c>
      <c r="AA323" s="174" t="s">
        <v>2871</v>
      </c>
      <c r="AB323" s="174" t="s">
        <v>2049</v>
      </c>
      <c r="AC323" s="174" t="s">
        <v>2019</v>
      </c>
      <c r="AD323" s="174" t="s">
        <v>2872</v>
      </c>
      <c r="AE323" s="174" t="s">
        <v>2358</v>
      </c>
      <c r="AF323" s="174" t="s">
        <v>2164</v>
      </c>
      <c r="AG323" s="174" t="s">
        <v>2775</v>
      </c>
      <c r="AH323" s="174" t="s">
        <v>2443</v>
      </c>
      <c r="AI323" s="174" t="s">
        <v>2873</v>
      </c>
      <c r="AJ323" s="174" t="s">
        <v>2874</v>
      </c>
      <c r="AK323" s="174" t="s">
        <v>2875</v>
      </c>
      <c r="AL323" s="174" t="s">
        <v>2863</v>
      </c>
      <c r="AM323" s="174" t="s">
        <v>2047</v>
      </c>
      <c r="AN323" s="174" t="s">
        <v>2864</v>
      </c>
      <c r="AO323" s="174" t="s">
        <v>2139</v>
      </c>
      <c r="AU323" s="174" t="s">
        <v>248</v>
      </c>
      <c r="AV323" s="174" t="s">
        <v>248</v>
      </c>
      <c r="AW323" s="174" t="s">
        <v>2150</v>
      </c>
    </row>
    <row r="324" spans="5:49" ht="13.35" customHeight="1" x14ac:dyDescent="0.2">
      <c r="E324" s="221" t="s">
        <v>2876</v>
      </c>
      <c r="F324" s="174">
        <v>116</v>
      </c>
      <c r="G324" s="174" t="s">
        <v>206</v>
      </c>
      <c r="H324" s="174" t="s">
        <v>2808</v>
      </c>
      <c r="I324" s="174" t="s">
        <v>2527</v>
      </c>
      <c r="J324" s="174" t="s">
        <v>2877</v>
      </c>
      <c r="K324" s="174" t="s">
        <v>2878</v>
      </c>
      <c r="L324" s="174" t="s">
        <v>2848</v>
      </c>
      <c r="M324" s="174" t="s">
        <v>2868</v>
      </c>
      <c r="N324" s="174" t="s">
        <v>2869</v>
      </c>
      <c r="O324" s="174" t="s">
        <v>2798</v>
      </c>
      <c r="P324" s="174" t="s">
        <v>2799</v>
      </c>
      <c r="Y324" s="174" t="s">
        <v>2311</v>
      </c>
      <c r="Z324" s="174" t="s">
        <v>2286</v>
      </c>
      <c r="AA324" s="174" t="s">
        <v>2754</v>
      </c>
      <c r="AB324" s="174" t="s">
        <v>2775</v>
      </c>
      <c r="AC324" s="174" t="s">
        <v>2212</v>
      </c>
      <c r="AD324" s="174" t="s">
        <v>2813</v>
      </c>
      <c r="AE324" s="174" t="s">
        <v>2879</v>
      </c>
      <c r="AF324" s="174" t="s">
        <v>2802</v>
      </c>
      <c r="AG324" s="174" t="s">
        <v>2880</v>
      </c>
      <c r="AH324" s="174" t="s">
        <v>2033</v>
      </c>
      <c r="AI324" s="174" t="s">
        <v>2881</v>
      </c>
      <c r="AJ324" s="174" t="s">
        <v>2443</v>
      </c>
      <c r="AK324" s="174" t="s">
        <v>2288</v>
      </c>
      <c r="AL324" s="174" t="s">
        <v>2289</v>
      </c>
      <c r="AU324" s="174" t="s">
        <v>248</v>
      </c>
      <c r="AV324" s="174" t="s">
        <v>681</v>
      </c>
      <c r="AW324" s="174" t="s">
        <v>2882</v>
      </c>
    </row>
    <row r="325" spans="5:49" ht="13.35" customHeight="1" x14ac:dyDescent="0.2">
      <c r="E325" s="221" t="s">
        <v>2883</v>
      </c>
      <c r="F325" s="174">
        <v>162</v>
      </c>
      <c r="G325" s="174" t="s">
        <v>206</v>
      </c>
      <c r="H325" s="174" t="s">
        <v>2884</v>
      </c>
      <c r="I325" s="174" t="s">
        <v>2885</v>
      </c>
      <c r="J325" s="174" t="s">
        <v>2886</v>
      </c>
      <c r="K325" s="174" t="s">
        <v>2887</v>
      </c>
      <c r="L325" s="174" t="s">
        <v>2888</v>
      </c>
      <c r="M325" s="174" t="s">
        <v>2889</v>
      </c>
      <c r="N325" s="174" t="s">
        <v>2890</v>
      </c>
      <c r="O325" s="174" t="s">
        <v>2891</v>
      </c>
      <c r="P325" s="174" t="s">
        <v>2892</v>
      </c>
      <c r="Q325" s="174" t="s">
        <v>2893</v>
      </c>
      <c r="Y325" s="174" t="s">
        <v>2311</v>
      </c>
      <c r="Z325" s="174" t="s">
        <v>2774</v>
      </c>
      <c r="AA325" s="174" t="s">
        <v>2775</v>
      </c>
      <c r="AB325" s="174" t="s">
        <v>2894</v>
      </c>
      <c r="AC325" s="174" t="s">
        <v>2895</v>
      </c>
      <c r="AD325" s="174" t="s">
        <v>2139</v>
      </c>
      <c r="AE325" s="174" t="s">
        <v>2312</v>
      </c>
      <c r="AF325" s="174" t="s">
        <v>2896</v>
      </c>
      <c r="AG325" s="174" t="s">
        <v>2897</v>
      </c>
      <c r="AH325" s="174" t="s">
        <v>2898</v>
      </c>
      <c r="AI325" s="174" t="s">
        <v>2899</v>
      </c>
      <c r="AJ325" s="174" t="s">
        <v>2139</v>
      </c>
      <c r="AK325" s="174" t="s">
        <v>2067</v>
      </c>
      <c r="AL325" s="174" t="s">
        <v>2047</v>
      </c>
      <c r="AM325" s="174" t="s">
        <v>2031</v>
      </c>
      <c r="AN325" s="174" t="s">
        <v>2757</v>
      </c>
      <c r="AO325" s="174" t="s">
        <v>2212</v>
      </c>
      <c r="AP325" s="174" t="s">
        <v>2900</v>
      </c>
      <c r="AQ325" s="174" t="s">
        <v>2801</v>
      </c>
      <c r="AR325" s="174" t="s">
        <v>2901</v>
      </c>
      <c r="AS325" s="174" t="s">
        <v>2902</v>
      </c>
      <c r="AU325" s="174" t="s">
        <v>248</v>
      </c>
      <c r="AV325" s="174" t="s">
        <v>248</v>
      </c>
      <c r="AW325" s="174" t="s">
        <v>233</v>
      </c>
    </row>
    <row r="326" spans="5:49" ht="13.35" customHeight="1" x14ac:dyDescent="0.2">
      <c r="E326" s="221" t="s">
        <v>2903</v>
      </c>
      <c r="F326" s="174">
        <v>124</v>
      </c>
      <c r="G326" s="174" t="s">
        <v>206</v>
      </c>
      <c r="H326" s="174" t="s">
        <v>2904</v>
      </c>
      <c r="I326" s="174" t="s">
        <v>2905</v>
      </c>
      <c r="J326" s="174" t="s">
        <v>2906</v>
      </c>
      <c r="K326" s="174" t="s">
        <v>2907</v>
      </c>
      <c r="L326" s="174" t="s">
        <v>2908</v>
      </c>
      <c r="M326" s="174" t="s">
        <v>2909</v>
      </c>
      <c r="N326" s="174" t="s">
        <v>2910</v>
      </c>
      <c r="O326" s="174" t="s">
        <v>2911</v>
      </c>
      <c r="P326" s="174" t="s">
        <v>2628</v>
      </c>
      <c r="Y326" s="174" t="s">
        <v>2025</v>
      </c>
      <c r="Z326" s="174" t="s">
        <v>2160</v>
      </c>
      <c r="AA326" s="174" t="s">
        <v>2162</v>
      </c>
      <c r="AB326" s="174" t="s">
        <v>2072</v>
      </c>
      <c r="AC326" s="174" t="s">
        <v>2343</v>
      </c>
      <c r="AD326" s="174" t="s">
        <v>2912</v>
      </c>
      <c r="AE326" s="174" t="s">
        <v>2913</v>
      </c>
      <c r="AF326" s="174" t="s">
        <v>2914</v>
      </c>
      <c r="AG326" s="174" t="s">
        <v>2915</v>
      </c>
      <c r="AH326" s="174" t="s">
        <v>2047</v>
      </c>
      <c r="AI326" s="174" t="s">
        <v>2067</v>
      </c>
      <c r="AJ326" s="174" t="s">
        <v>2916</v>
      </c>
      <c r="AK326" s="174" t="s">
        <v>2917</v>
      </c>
      <c r="AL326" s="174" t="s">
        <v>2918</v>
      </c>
      <c r="AM326" s="174" t="s">
        <v>2079</v>
      </c>
      <c r="AN326" s="174" t="s">
        <v>2078</v>
      </c>
      <c r="AU326" s="174" t="s">
        <v>248</v>
      </c>
      <c r="AV326" s="174" t="s">
        <v>248</v>
      </c>
      <c r="AW326" s="174" t="s">
        <v>233</v>
      </c>
    </row>
    <row r="327" spans="5:49" ht="13.35" customHeight="1" x14ac:dyDescent="0.2">
      <c r="E327" s="221" t="s">
        <v>2919</v>
      </c>
      <c r="F327" s="174">
        <v>102</v>
      </c>
      <c r="G327" s="174" t="s">
        <v>2261</v>
      </c>
      <c r="H327" s="174" t="s">
        <v>2920</v>
      </c>
      <c r="I327" s="174" t="s">
        <v>2921</v>
      </c>
      <c r="J327" s="174" t="s">
        <v>2922</v>
      </c>
      <c r="K327" s="174" t="s">
        <v>2923</v>
      </c>
      <c r="L327" s="174" t="s">
        <v>2924</v>
      </c>
      <c r="M327" s="174" t="s">
        <v>2925</v>
      </c>
      <c r="N327" s="174" t="s">
        <v>2926</v>
      </c>
      <c r="Y327" s="174" t="s">
        <v>2927</v>
      </c>
      <c r="Z327" s="174" t="s">
        <v>2412</v>
      </c>
      <c r="AA327" s="174" t="s">
        <v>2178</v>
      </c>
      <c r="AB327" s="174" t="s">
        <v>2198</v>
      </c>
      <c r="AC327" s="174" t="s">
        <v>2117</v>
      </c>
      <c r="AD327" s="174" t="s">
        <v>2139</v>
      </c>
      <c r="AE327" s="174" t="s">
        <v>2916</v>
      </c>
      <c r="AF327" s="174" t="s">
        <v>2928</v>
      </c>
      <c r="AG327" s="174" t="s">
        <v>2135</v>
      </c>
      <c r="AH327" s="174" t="s">
        <v>2929</v>
      </c>
      <c r="AI327" s="174" t="s">
        <v>2077</v>
      </c>
      <c r="AJ327" s="174" t="s">
        <v>2930</v>
      </c>
      <c r="AU327" s="174" t="s">
        <v>248</v>
      </c>
      <c r="AV327" s="174" t="s">
        <v>248</v>
      </c>
      <c r="AW327" s="174" t="s">
        <v>248</v>
      </c>
    </row>
    <row r="328" spans="5:49" ht="13.35" customHeight="1" x14ac:dyDescent="0.2">
      <c r="E328" s="221" t="s">
        <v>2931</v>
      </c>
      <c r="F328" s="174">
        <v>122</v>
      </c>
      <c r="G328" s="174" t="s">
        <v>206</v>
      </c>
      <c r="H328" s="174" t="s">
        <v>2932</v>
      </c>
      <c r="I328" s="174" t="s">
        <v>2933</v>
      </c>
      <c r="J328" s="174" t="s">
        <v>2934</v>
      </c>
      <c r="K328" s="174" t="s">
        <v>2935</v>
      </c>
      <c r="L328" s="174" t="s">
        <v>2936</v>
      </c>
      <c r="M328" s="174" t="s">
        <v>2937</v>
      </c>
      <c r="N328" s="174" t="s">
        <v>2938</v>
      </c>
      <c r="Y328" s="174" t="s">
        <v>2113</v>
      </c>
      <c r="Z328" s="174" t="s">
        <v>2028</v>
      </c>
      <c r="AA328" s="174" t="s">
        <v>2939</v>
      </c>
      <c r="AB328" s="174" t="s">
        <v>2940</v>
      </c>
      <c r="AC328" s="174" t="s">
        <v>2773</v>
      </c>
      <c r="AD328" s="174" t="s">
        <v>2312</v>
      </c>
      <c r="AE328" s="174" t="s">
        <v>2941</v>
      </c>
      <c r="AF328" s="174" t="s">
        <v>2942</v>
      </c>
      <c r="AG328" s="174" t="s">
        <v>2943</v>
      </c>
      <c r="AH328" s="174" t="s">
        <v>2816</v>
      </c>
      <c r="AI328" s="174" t="s">
        <v>2817</v>
      </c>
      <c r="AJ328" s="174" t="s">
        <v>2944</v>
      </c>
      <c r="AK328" s="174" t="s">
        <v>2916</v>
      </c>
      <c r="AL328" s="174" t="s">
        <v>2945</v>
      </c>
      <c r="AU328" s="174" t="s">
        <v>248</v>
      </c>
      <c r="AV328" s="174" t="s">
        <v>248</v>
      </c>
      <c r="AW328" s="174" t="s">
        <v>248</v>
      </c>
    </row>
    <row r="329" spans="5:49" ht="13.35" customHeight="1" x14ac:dyDescent="0.2">
      <c r="E329" s="221" t="s">
        <v>2946</v>
      </c>
      <c r="F329" s="174">
        <v>124</v>
      </c>
      <c r="G329" s="174" t="s">
        <v>206</v>
      </c>
      <c r="H329" s="174" t="s">
        <v>2947</v>
      </c>
      <c r="I329" s="174" t="s">
        <v>2948</v>
      </c>
      <c r="J329" s="174" t="s">
        <v>2949</v>
      </c>
      <c r="K329" s="174" t="s">
        <v>2950</v>
      </c>
      <c r="L329" s="174" t="s">
        <v>2951</v>
      </c>
      <c r="Y329" s="174" t="s">
        <v>2411</v>
      </c>
      <c r="Z329" s="174" t="s">
        <v>2428</v>
      </c>
      <c r="AA329" s="174" t="s">
        <v>2113</v>
      </c>
      <c r="AB329" s="174" t="s">
        <v>2355</v>
      </c>
      <c r="AC329" s="174" t="s">
        <v>2258</v>
      </c>
      <c r="AD329" s="174" t="s">
        <v>2940</v>
      </c>
      <c r="AE329" s="174" t="s">
        <v>2952</v>
      </c>
      <c r="AF329" s="174" t="s">
        <v>2953</v>
      </c>
      <c r="AG329" s="174" t="s">
        <v>2954</v>
      </c>
      <c r="AH329" s="174" t="s">
        <v>2955</v>
      </c>
      <c r="AI329" s="174" t="s">
        <v>2916</v>
      </c>
      <c r="AJ329" s="174" t="s">
        <v>2956</v>
      </c>
      <c r="AK329" s="174" t="s">
        <v>2941</v>
      </c>
      <c r="AU329" s="174" t="s">
        <v>248</v>
      </c>
      <c r="AV329" s="174" t="s">
        <v>248</v>
      </c>
      <c r="AW329" s="174" t="s">
        <v>248</v>
      </c>
    </row>
    <row r="330" spans="5:49" ht="13.35" customHeight="1" x14ac:dyDescent="0.2">
      <c r="E330" s="221" t="s">
        <v>2957</v>
      </c>
      <c r="F330" s="174">
        <v>130</v>
      </c>
      <c r="G330" s="174" t="s">
        <v>248</v>
      </c>
      <c r="H330" s="174" t="s">
        <v>2958</v>
      </c>
      <c r="I330" s="174" t="s">
        <v>2959</v>
      </c>
      <c r="J330" s="174" t="s">
        <v>2960</v>
      </c>
      <c r="K330" s="174" t="s">
        <v>2961</v>
      </c>
      <c r="L330" s="174" t="s">
        <v>2962</v>
      </c>
      <c r="M330" s="174" t="s">
        <v>2963</v>
      </c>
      <c r="N330" s="174" t="s">
        <v>2964</v>
      </c>
      <c r="O330" s="174" t="s">
        <v>2965</v>
      </c>
      <c r="Y330" s="174" t="s">
        <v>2113</v>
      </c>
      <c r="Z330" s="174" t="s">
        <v>2355</v>
      </c>
      <c r="AA330" s="174" t="s">
        <v>2258</v>
      </c>
      <c r="AB330" s="174" t="s">
        <v>2726</v>
      </c>
      <c r="AC330" s="174" t="s">
        <v>2356</v>
      </c>
      <c r="AD330" s="174" t="s">
        <v>2357</v>
      </c>
      <c r="AE330" s="174" t="s">
        <v>2162</v>
      </c>
      <c r="AF330" s="174" t="s">
        <v>2359</v>
      </c>
      <c r="AG330" s="174" t="s">
        <v>2966</v>
      </c>
      <c r="AH330" s="174" t="s">
        <v>2160</v>
      </c>
      <c r="AI330" s="174" t="s">
        <v>2345</v>
      </c>
      <c r="AJ330" s="174" t="s">
        <v>2967</v>
      </c>
      <c r="AK330" s="174" t="s">
        <v>2968</v>
      </c>
      <c r="AL330" s="174" t="s">
        <v>2969</v>
      </c>
      <c r="AM330" s="174" t="s">
        <v>2943</v>
      </c>
      <c r="AN330" s="174" t="s">
        <v>2676</v>
      </c>
      <c r="AU330" s="174" t="s">
        <v>248</v>
      </c>
      <c r="AV330" s="174" t="s">
        <v>248</v>
      </c>
      <c r="AW330" s="174" t="s">
        <v>2970</v>
      </c>
    </row>
    <row r="331" spans="5:49" ht="13.35" customHeight="1" x14ac:dyDescent="0.2">
      <c r="E331" s="221" t="s">
        <v>2971</v>
      </c>
      <c r="F331" s="174">
        <v>108</v>
      </c>
      <c r="G331" s="174" t="s">
        <v>206</v>
      </c>
      <c r="H331" s="174" t="s">
        <v>2972</v>
      </c>
      <c r="I331" s="174" t="s">
        <v>2973</v>
      </c>
      <c r="J331" s="174" t="s">
        <v>2974</v>
      </c>
      <c r="K331" s="174" t="s">
        <v>2975</v>
      </c>
      <c r="L331" s="174" t="s">
        <v>2976</v>
      </c>
      <c r="M331" s="174" t="s">
        <v>2977</v>
      </c>
      <c r="N331" s="174" t="s">
        <v>2978</v>
      </c>
      <c r="O331" s="174" t="s">
        <v>2979</v>
      </c>
      <c r="Y331" s="174" t="s">
        <v>2411</v>
      </c>
      <c r="Z331" s="174" t="s">
        <v>2980</v>
      </c>
      <c r="AA331" s="174" t="s">
        <v>2178</v>
      </c>
      <c r="AB331" s="174" t="s">
        <v>2198</v>
      </c>
      <c r="AC331" s="174" t="s">
        <v>2199</v>
      </c>
      <c r="AD331" s="174" t="s">
        <v>2981</v>
      </c>
      <c r="AE331" s="174" t="s">
        <v>2982</v>
      </c>
      <c r="AF331" s="174" t="s">
        <v>2213</v>
      </c>
      <c r="AG331" s="174" t="s">
        <v>2916</v>
      </c>
      <c r="AH331" s="174" t="s">
        <v>2983</v>
      </c>
      <c r="AI331" s="174" t="s">
        <v>2984</v>
      </c>
      <c r="AJ331" s="174" t="s">
        <v>2135</v>
      </c>
      <c r="AK331" s="174" t="s">
        <v>2929</v>
      </c>
      <c r="AL331" s="174" t="s">
        <v>2202</v>
      </c>
      <c r="AM331" s="174" t="s">
        <v>2790</v>
      </c>
      <c r="AU331" s="174" t="s">
        <v>248</v>
      </c>
      <c r="AV331" s="174" t="s">
        <v>248</v>
      </c>
      <c r="AW331" s="174" t="s">
        <v>231</v>
      </c>
    </row>
    <row r="332" spans="5:49" ht="13.35" customHeight="1" x14ac:dyDescent="0.2">
      <c r="E332" s="221" t="s">
        <v>2985</v>
      </c>
      <c r="F332" s="174">
        <v>144</v>
      </c>
      <c r="G332" s="174" t="s">
        <v>206</v>
      </c>
      <c r="H332" s="174" t="s">
        <v>2986</v>
      </c>
      <c r="I332" s="174" t="s">
        <v>2987</v>
      </c>
      <c r="J332" s="174" t="s">
        <v>2988</v>
      </c>
      <c r="K332" s="174" t="s">
        <v>2989</v>
      </c>
      <c r="L332" s="174" t="s">
        <v>2990</v>
      </c>
      <c r="M332" s="174" t="s">
        <v>2991</v>
      </c>
      <c r="N332" s="174" t="s">
        <v>2992</v>
      </c>
      <c r="O332" s="174" t="s">
        <v>2993</v>
      </c>
      <c r="P332" s="174" t="s">
        <v>2994</v>
      </c>
      <c r="Q332" s="174" t="s">
        <v>2995</v>
      </c>
      <c r="Y332" s="174" t="s">
        <v>2025</v>
      </c>
      <c r="Z332" s="174" t="s">
        <v>2996</v>
      </c>
      <c r="AA332" s="174" t="s">
        <v>2248</v>
      </c>
      <c r="AB332" s="174" t="s">
        <v>2024</v>
      </c>
      <c r="AC332" s="174" t="s">
        <v>2226</v>
      </c>
      <c r="AD332" s="174" t="s">
        <v>2513</v>
      </c>
      <c r="AE332" s="174" t="s">
        <v>2997</v>
      </c>
      <c r="AF332" s="174" t="s">
        <v>2259</v>
      </c>
      <c r="AG332" s="174" t="s">
        <v>2998</v>
      </c>
      <c r="AH332" s="174" t="s">
        <v>2162</v>
      </c>
      <c r="AI332" s="174" t="s">
        <v>2160</v>
      </c>
      <c r="AJ332" s="174" t="s">
        <v>2067</v>
      </c>
      <c r="AK332" s="174" t="s">
        <v>2999</v>
      </c>
      <c r="AL332" s="174" t="s">
        <v>2916</v>
      </c>
      <c r="AM332" s="174" t="s">
        <v>3000</v>
      </c>
      <c r="AN332" s="174" t="s">
        <v>3001</v>
      </c>
      <c r="AO332" s="174" t="s">
        <v>3002</v>
      </c>
      <c r="AP332" s="174" t="s">
        <v>3003</v>
      </c>
      <c r="AQ332" s="174" t="s">
        <v>2445</v>
      </c>
      <c r="AR332" s="174" t="s">
        <v>3004</v>
      </c>
      <c r="AS332" s="174" t="s">
        <v>3005</v>
      </c>
      <c r="AT332" s="174" t="s">
        <v>3006</v>
      </c>
      <c r="AU332" s="174" t="s">
        <v>248</v>
      </c>
      <c r="AV332" s="174" t="s">
        <v>248</v>
      </c>
      <c r="AW332" s="174" t="s">
        <v>248</v>
      </c>
    </row>
    <row r="333" spans="5:49" ht="13.35" customHeight="1" x14ac:dyDescent="0.2">
      <c r="E333" s="221" t="s">
        <v>3007</v>
      </c>
      <c r="F333" s="174">
        <v>83</v>
      </c>
      <c r="G333" s="174" t="s">
        <v>206</v>
      </c>
      <c r="H333" s="174" t="s">
        <v>3008</v>
      </c>
      <c r="I333" s="174" t="s">
        <v>3009</v>
      </c>
      <c r="J333" s="174" t="s">
        <v>3010</v>
      </c>
      <c r="K333" s="174" t="s">
        <v>3011</v>
      </c>
      <c r="L333" s="174" t="s">
        <v>3012</v>
      </c>
      <c r="M333" s="174" t="s">
        <v>3013</v>
      </c>
      <c r="N333" s="174" t="s">
        <v>3014</v>
      </c>
      <c r="O333" s="174" t="s">
        <v>3015</v>
      </c>
      <c r="P333" s="174" t="s">
        <v>3016</v>
      </c>
      <c r="Y333" s="174" t="s">
        <v>2411</v>
      </c>
      <c r="Z333" s="174" t="s">
        <v>3017</v>
      </c>
      <c r="AA333" s="174" t="s">
        <v>2358</v>
      </c>
      <c r="AB333" s="174" t="s">
        <v>3018</v>
      </c>
      <c r="AC333" s="174" t="s">
        <v>2469</v>
      </c>
      <c r="AD333" s="174" t="s">
        <v>3019</v>
      </c>
      <c r="AE333" s="174" t="s">
        <v>2499</v>
      </c>
      <c r="AF333" s="174" t="s">
        <v>3020</v>
      </c>
      <c r="AG333" s="174" t="s">
        <v>3021</v>
      </c>
      <c r="AH333" s="174" t="s">
        <v>3022</v>
      </c>
      <c r="AU333" s="174" t="s">
        <v>248</v>
      </c>
      <c r="AV333" s="174" t="s">
        <v>248</v>
      </c>
      <c r="AW333" s="174" t="s">
        <v>231</v>
      </c>
    </row>
    <row r="334" spans="5:49" ht="13.35" customHeight="1" x14ac:dyDescent="0.2">
      <c r="E334" s="221" t="s">
        <v>3023</v>
      </c>
      <c r="F334" s="174">
        <v>147</v>
      </c>
      <c r="G334" s="174" t="s">
        <v>2261</v>
      </c>
      <c r="H334" s="174" t="s">
        <v>3024</v>
      </c>
      <c r="I334" s="174" t="s">
        <v>3025</v>
      </c>
      <c r="J334" s="174" t="s">
        <v>3026</v>
      </c>
      <c r="K334" s="174" t="s">
        <v>3027</v>
      </c>
      <c r="L334" s="174" t="s">
        <v>3028</v>
      </c>
      <c r="M334" s="174" t="s">
        <v>3029</v>
      </c>
      <c r="N334" s="174" t="s">
        <v>3030</v>
      </c>
      <c r="O334" s="174" t="s">
        <v>3031</v>
      </c>
      <c r="Y334" s="174" t="s">
        <v>2048</v>
      </c>
      <c r="Z334" s="174" t="s">
        <v>2344</v>
      </c>
      <c r="AA334" s="174" t="s">
        <v>3032</v>
      </c>
      <c r="AB334" s="174" t="s">
        <v>2467</v>
      </c>
      <c r="AC334" s="174" t="s">
        <v>2714</v>
      </c>
      <c r="AD334" s="174" t="s">
        <v>3033</v>
      </c>
      <c r="AE334" s="174" t="s">
        <v>2916</v>
      </c>
      <c r="AF334" s="174" t="s">
        <v>3034</v>
      </c>
      <c r="AG334" s="174" t="s">
        <v>3035</v>
      </c>
      <c r="AH334" s="174" t="s">
        <v>3036</v>
      </c>
      <c r="AI334" s="174" t="s">
        <v>2881</v>
      </c>
      <c r="AJ334" s="174" t="s">
        <v>2804</v>
      </c>
      <c r="AK334" s="174" t="s">
        <v>3037</v>
      </c>
      <c r="AL334" s="174" t="s">
        <v>3038</v>
      </c>
      <c r="AM334" s="174" t="s">
        <v>3039</v>
      </c>
      <c r="AN334" s="174" t="s">
        <v>3040</v>
      </c>
      <c r="AO334" s="174" t="s">
        <v>2445</v>
      </c>
      <c r="AP334" s="174" t="s">
        <v>3041</v>
      </c>
      <c r="AQ334" s="174" t="s">
        <v>2293</v>
      </c>
      <c r="AU334" s="174" t="s">
        <v>248</v>
      </c>
      <c r="AV334" s="174" t="s">
        <v>248</v>
      </c>
      <c r="AW334" s="174" t="s">
        <v>248</v>
      </c>
    </row>
    <row r="335" spans="5:49" ht="13.35" customHeight="1" x14ac:dyDescent="0.2">
      <c r="E335" s="221" t="s">
        <v>3042</v>
      </c>
      <c r="F335" s="174">
        <v>105</v>
      </c>
      <c r="G335" s="174" t="s">
        <v>206</v>
      </c>
      <c r="H335" s="174" t="s">
        <v>3043</v>
      </c>
      <c r="I335" s="174" t="s">
        <v>3044</v>
      </c>
      <c r="J335" s="174" t="s">
        <v>3045</v>
      </c>
      <c r="K335" s="174" t="s">
        <v>3046</v>
      </c>
      <c r="L335" s="174" t="s">
        <v>3047</v>
      </c>
      <c r="M335" s="174" t="s">
        <v>3048</v>
      </c>
      <c r="N335" s="174" t="s">
        <v>2671</v>
      </c>
      <c r="O335" s="174" t="s">
        <v>2822</v>
      </c>
      <c r="P335" s="174" t="s">
        <v>3049</v>
      </c>
      <c r="Y335" s="174" t="s">
        <v>2311</v>
      </c>
      <c r="Z335" s="174" t="s">
        <v>2980</v>
      </c>
      <c r="AA335" s="174" t="s">
        <v>2399</v>
      </c>
      <c r="AB335" s="174" t="s">
        <v>2247</v>
      </c>
      <c r="AC335" s="174" t="s">
        <v>2050</v>
      </c>
      <c r="AD335" s="174" t="s">
        <v>2980</v>
      </c>
      <c r="AE335" s="174" t="s">
        <v>2212</v>
      </c>
      <c r="AF335" s="174" t="s">
        <v>3050</v>
      </c>
      <c r="AG335" s="174" t="s">
        <v>3051</v>
      </c>
      <c r="AH335" s="174" t="s">
        <v>2916</v>
      </c>
      <c r="AI335" s="174" t="s">
        <v>3052</v>
      </c>
      <c r="AU335" s="174" t="s">
        <v>248</v>
      </c>
      <c r="AV335" s="174" t="s">
        <v>248</v>
      </c>
      <c r="AW335" s="174" t="s">
        <v>3053</v>
      </c>
    </row>
    <row r="336" spans="5:49" ht="13.35" customHeight="1" x14ac:dyDescent="0.2">
      <c r="E336" s="221" t="s">
        <v>3054</v>
      </c>
      <c r="F336" s="174">
        <v>171</v>
      </c>
      <c r="G336" s="174" t="s">
        <v>206</v>
      </c>
      <c r="H336" s="174" t="s">
        <v>3055</v>
      </c>
      <c r="I336" s="174" t="s">
        <v>3056</v>
      </c>
      <c r="J336" s="174" t="s">
        <v>3056</v>
      </c>
      <c r="K336" s="174" t="s">
        <v>3057</v>
      </c>
      <c r="L336" s="174" t="s">
        <v>3058</v>
      </c>
      <c r="M336" s="174" t="s">
        <v>3059</v>
      </c>
      <c r="N336" s="174" t="s">
        <v>3060</v>
      </c>
      <c r="O336" s="174" t="s">
        <v>3061</v>
      </c>
      <c r="P336" s="174" t="s">
        <v>3062</v>
      </c>
      <c r="Y336" s="174" t="s">
        <v>2226</v>
      </c>
      <c r="Z336" s="174" t="s">
        <v>3063</v>
      </c>
      <c r="AA336" s="174" t="s">
        <v>2071</v>
      </c>
      <c r="AB336" s="174" t="s">
        <v>2741</v>
      </c>
      <c r="AC336" s="174" t="s">
        <v>2399</v>
      </c>
      <c r="AD336" s="174" t="s">
        <v>2247</v>
      </c>
      <c r="AE336" s="174" t="s">
        <v>3064</v>
      </c>
      <c r="AF336" s="174" t="s">
        <v>2047</v>
      </c>
      <c r="AG336" s="174" t="s">
        <v>2165</v>
      </c>
      <c r="AH336" s="174" t="s">
        <v>2160</v>
      </c>
      <c r="AI336" s="174" t="s">
        <v>2491</v>
      </c>
      <c r="AJ336" s="174" t="s">
        <v>2047</v>
      </c>
      <c r="AK336" s="174" t="s">
        <v>2701</v>
      </c>
      <c r="AL336" s="174" t="s">
        <v>2047</v>
      </c>
      <c r="AM336" s="174" t="s">
        <v>2916</v>
      </c>
      <c r="AN336" s="174" t="s">
        <v>3065</v>
      </c>
      <c r="AO336" s="174" t="s">
        <v>3066</v>
      </c>
      <c r="AU336" s="174" t="s">
        <v>248</v>
      </c>
      <c r="AV336" s="174" t="s">
        <v>248</v>
      </c>
      <c r="AW336" s="174" t="s">
        <v>223</v>
      </c>
    </row>
    <row r="337" spans="5:49" ht="13.35" customHeight="1" x14ac:dyDescent="0.2">
      <c r="E337" s="221" t="s">
        <v>3067</v>
      </c>
      <c r="F337" s="174">
        <v>97</v>
      </c>
      <c r="G337" s="174" t="s">
        <v>2261</v>
      </c>
      <c r="H337" s="174" t="s">
        <v>3068</v>
      </c>
      <c r="I337" s="174" t="s">
        <v>3069</v>
      </c>
      <c r="J337" s="174" t="s">
        <v>3070</v>
      </c>
      <c r="K337" s="174" t="s">
        <v>3071</v>
      </c>
      <c r="L337" s="174" t="s">
        <v>3072</v>
      </c>
      <c r="M337" s="174" t="s">
        <v>3073</v>
      </c>
      <c r="N337" s="174" t="s">
        <v>3073</v>
      </c>
      <c r="O337" s="174" t="s">
        <v>3074</v>
      </c>
      <c r="P337" s="174" t="s">
        <v>3075</v>
      </c>
      <c r="Y337" s="174" t="s">
        <v>2029</v>
      </c>
      <c r="Z337" s="174" t="s">
        <v>2787</v>
      </c>
      <c r="AA337" s="174" t="s">
        <v>2532</v>
      </c>
      <c r="AB337" s="174" t="s">
        <v>3076</v>
      </c>
      <c r="AC337" s="174" t="s">
        <v>3077</v>
      </c>
      <c r="AD337" s="174" t="s">
        <v>2231</v>
      </c>
      <c r="AE337" s="174" t="s">
        <v>2690</v>
      </c>
      <c r="AF337" s="174" t="s">
        <v>2232</v>
      </c>
      <c r="AG337" s="174" t="s">
        <v>2071</v>
      </c>
      <c r="AH337" s="174" t="s">
        <v>3078</v>
      </c>
      <c r="AI337" s="174" t="s">
        <v>2164</v>
      </c>
      <c r="AJ337" s="174" t="s">
        <v>2700</v>
      </c>
      <c r="AK337" s="174" t="s">
        <v>2074</v>
      </c>
      <c r="AL337" s="174" t="s">
        <v>2874</v>
      </c>
      <c r="AM337" s="174" t="s">
        <v>3079</v>
      </c>
      <c r="AU337" s="174" t="s">
        <v>248</v>
      </c>
      <c r="AV337" s="174" t="s">
        <v>248</v>
      </c>
      <c r="AW337" s="174" t="s">
        <v>235</v>
      </c>
    </row>
    <row r="338" spans="5:49" ht="13.35" customHeight="1" x14ac:dyDescent="0.2">
      <c r="E338" s="221" t="s">
        <v>3080</v>
      </c>
      <c r="F338" s="174">
        <v>75</v>
      </c>
      <c r="G338" s="174" t="s">
        <v>206</v>
      </c>
      <c r="H338" s="174" t="s">
        <v>3081</v>
      </c>
      <c r="I338" s="174" t="s">
        <v>3082</v>
      </c>
      <c r="J338" s="174" t="s">
        <v>3083</v>
      </c>
      <c r="K338" s="174" t="s">
        <v>3084</v>
      </c>
      <c r="L338" s="174" t="s">
        <v>3085</v>
      </c>
      <c r="M338" s="174" t="s">
        <v>3086</v>
      </c>
      <c r="N338" s="174" t="s">
        <v>3087</v>
      </c>
      <c r="Y338" s="174" t="s">
        <v>2411</v>
      </c>
      <c r="Z338" s="174" t="s">
        <v>2412</v>
      </c>
      <c r="AA338" s="174" t="s">
        <v>3088</v>
      </c>
      <c r="AB338" s="174" t="s">
        <v>2836</v>
      </c>
      <c r="AC338" s="174" t="s">
        <v>2231</v>
      </c>
      <c r="AD338" s="174" t="s">
        <v>2200</v>
      </c>
      <c r="AE338" s="174" t="s">
        <v>2752</v>
      </c>
      <c r="AF338" s="174" t="s">
        <v>2410</v>
      </c>
      <c r="AG338" s="174" t="s">
        <v>2077</v>
      </c>
      <c r="AH338" s="174" t="s">
        <v>2079</v>
      </c>
      <c r="AI338" s="174" t="s">
        <v>2078</v>
      </c>
      <c r="AJ338" s="174" t="s">
        <v>2033</v>
      </c>
      <c r="AK338" s="174" t="s">
        <v>3089</v>
      </c>
      <c r="AL338" s="174" t="s">
        <v>2743</v>
      </c>
      <c r="AU338" s="174" t="s">
        <v>248</v>
      </c>
      <c r="AV338" s="174" t="s">
        <v>248</v>
      </c>
      <c r="AW338" s="174" t="s">
        <v>248</v>
      </c>
    </row>
    <row r="339" spans="5:49" ht="13.35" customHeight="1" x14ac:dyDescent="0.2">
      <c r="E339" s="221" t="s">
        <v>3090</v>
      </c>
      <c r="F339" s="174">
        <v>27</v>
      </c>
      <c r="G339" s="174" t="s">
        <v>206</v>
      </c>
      <c r="H339" s="174" t="s">
        <v>3091</v>
      </c>
      <c r="I339" s="174" t="s">
        <v>3092</v>
      </c>
      <c r="J339" s="174" t="s">
        <v>3093</v>
      </c>
      <c r="K339" s="174" t="s">
        <v>3094</v>
      </c>
      <c r="L339" s="174" t="s">
        <v>3095</v>
      </c>
      <c r="M339" s="174" t="s">
        <v>3096</v>
      </c>
      <c r="N339" s="174" t="s">
        <v>3097</v>
      </c>
      <c r="Y339" s="174" t="s">
        <v>2165</v>
      </c>
      <c r="Z339" s="174" t="s">
        <v>3098</v>
      </c>
      <c r="AA339" s="174" t="s">
        <v>3099</v>
      </c>
      <c r="AB339" s="174" t="s">
        <v>2179</v>
      </c>
      <c r="AC339" s="174" t="s">
        <v>3100</v>
      </c>
      <c r="AD339" s="174" t="s">
        <v>2701</v>
      </c>
      <c r="AE339" s="174" t="s">
        <v>3101</v>
      </c>
      <c r="AF339" s="174" t="s">
        <v>2135</v>
      </c>
      <c r="AG339" s="174" t="s">
        <v>3102</v>
      </c>
      <c r="AU339" s="174" t="s">
        <v>248</v>
      </c>
      <c r="AV339" s="174" t="s">
        <v>248</v>
      </c>
      <c r="AW339" s="174" t="s">
        <v>248</v>
      </c>
    </row>
    <row r="340" spans="5:49" ht="13.35" customHeight="1" x14ac:dyDescent="0.2">
      <c r="E340" s="221" t="s">
        <v>3103</v>
      </c>
      <c r="F340" s="174">
        <v>19</v>
      </c>
      <c r="G340" s="174" t="s">
        <v>2261</v>
      </c>
      <c r="H340" s="174" t="s">
        <v>3104</v>
      </c>
      <c r="I340" s="174" t="s">
        <v>3105</v>
      </c>
      <c r="J340" s="174" t="s">
        <v>3073</v>
      </c>
      <c r="K340" s="174" t="s">
        <v>3106</v>
      </c>
      <c r="L340" s="174" t="s">
        <v>3106</v>
      </c>
      <c r="M340" s="174" t="s">
        <v>3107</v>
      </c>
      <c r="Y340" s="174" t="s">
        <v>2259</v>
      </c>
      <c r="Z340" s="174" t="s">
        <v>2139</v>
      </c>
      <c r="AA340" s="174" t="s">
        <v>2048</v>
      </c>
      <c r="AB340" s="174" t="s">
        <v>3108</v>
      </c>
      <c r="AC340" s="174" t="s">
        <v>3109</v>
      </c>
      <c r="AD340" s="174" t="s">
        <v>2454</v>
      </c>
      <c r="AE340" s="174" t="s">
        <v>2455</v>
      </c>
      <c r="AF340" s="174" t="s">
        <v>2287</v>
      </c>
      <c r="AG340" s="174" t="s">
        <v>3110</v>
      </c>
      <c r="AH340" s="174" t="s">
        <v>3111</v>
      </c>
      <c r="AU340" s="174" t="s">
        <v>248</v>
      </c>
      <c r="AV340" s="174" t="s">
        <v>248</v>
      </c>
      <c r="AW340" s="174" t="s">
        <v>248</v>
      </c>
    </row>
    <row r="341" spans="5:49" ht="13.35" customHeight="1" x14ac:dyDescent="0.2">
      <c r="E341" s="221" t="s">
        <v>3112</v>
      </c>
      <c r="F341" s="174">
        <v>52</v>
      </c>
      <c r="G341" s="174" t="s">
        <v>206</v>
      </c>
      <c r="H341" s="174" t="s">
        <v>3104</v>
      </c>
      <c r="I341" s="174" t="s">
        <v>3113</v>
      </c>
      <c r="J341" s="174" t="s">
        <v>3114</v>
      </c>
      <c r="K341" s="174" t="s">
        <v>3115</v>
      </c>
      <c r="L341" s="174" t="s">
        <v>3115</v>
      </c>
      <c r="M341" s="174" t="s">
        <v>3116</v>
      </c>
      <c r="Y341" s="174" t="s">
        <v>2029</v>
      </c>
      <c r="Z341" s="174" t="s">
        <v>2030</v>
      </c>
      <c r="AA341" s="174" t="s">
        <v>3117</v>
      </c>
      <c r="AB341" s="174" t="s">
        <v>2837</v>
      </c>
      <c r="AC341" s="174" t="s">
        <v>3118</v>
      </c>
      <c r="AD341" s="174" t="s">
        <v>3119</v>
      </c>
      <c r="AE341" s="174" t="s">
        <v>2162</v>
      </c>
      <c r="AF341" s="174" t="s">
        <v>3120</v>
      </c>
      <c r="AG341" s="174" t="s">
        <v>3121</v>
      </c>
      <c r="AH341" s="174" t="s">
        <v>2074</v>
      </c>
      <c r="AI341" s="174" t="s">
        <v>2187</v>
      </c>
      <c r="AJ341" s="174" t="s">
        <v>2896</v>
      </c>
      <c r="AK341" s="174" t="s">
        <v>2701</v>
      </c>
      <c r="AL341" s="174" t="s">
        <v>3122</v>
      </c>
      <c r="AM341" s="174" t="s">
        <v>2874</v>
      </c>
      <c r="AN341" s="174" t="s">
        <v>3123</v>
      </c>
      <c r="AU341" s="174" t="s">
        <v>248</v>
      </c>
      <c r="AV341" s="174" t="s">
        <v>248</v>
      </c>
      <c r="AW341" s="174" t="s">
        <v>248</v>
      </c>
    </row>
    <row r="342" spans="5:49" ht="13.35" customHeight="1" x14ac:dyDescent="0.2">
      <c r="E342" s="221" t="s">
        <v>3124</v>
      </c>
      <c r="F342" s="174">
        <v>110</v>
      </c>
      <c r="G342" s="174" t="s">
        <v>206</v>
      </c>
      <c r="H342" s="174" t="s">
        <v>3125</v>
      </c>
      <c r="I342" s="174" t="s">
        <v>3126</v>
      </c>
      <c r="J342" s="174" t="s">
        <v>3127</v>
      </c>
      <c r="K342" s="174" t="s">
        <v>3128</v>
      </c>
      <c r="L342" s="174" t="s">
        <v>3129</v>
      </c>
      <c r="M342" s="174" t="s">
        <v>3130</v>
      </c>
      <c r="Y342" s="174" t="s">
        <v>2740</v>
      </c>
      <c r="Z342" s="174" t="s">
        <v>3131</v>
      </c>
      <c r="AA342" s="174" t="s">
        <v>2499</v>
      </c>
      <c r="AB342" s="174" t="s">
        <v>3132</v>
      </c>
      <c r="AC342" s="174" t="s">
        <v>2777</v>
      </c>
      <c r="AD342" s="174" t="s">
        <v>2491</v>
      </c>
      <c r="AE342" s="174" t="s">
        <v>2691</v>
      </c>
      <c r="AF342" s="174" t="s">
        <v>3133</v>
      </c>
      <c r="AG342" s="174" t="s">
        <v>3134</v>
      </c>
      <c r="AH342" s="174" t="s">
        <v>3135</v>
      </c>
      <c r="AI342" s="174" t="s">
        <v>2457</v>
      </c>
      <c r="AJ342" s="174" t="s">
        <v>2139</v>
      </c>
      <c r="AU342" s="174" t="s">
        <v>248</v>
      </c>
      <c r="AV342" s="174" t="s">
        <v>248</v>
      </c>
      <c r="AW342" s="174" t="s">
        <v>248</v>
      </c>
    </row>
    <row r="343" spans="5:49" ht="13.35" customHeight="1" x14ac:dyDescent="0.2">
      <c r="E343" s="221" t="s">
        <v>3136</v>
      </c>
      <c r="F343" s="174">
        <v>78</v>
      </c>
      <c r="G343" s="174" t="s">
        <v>206</v>
      </c>
      <c r="H343" s="174" t="s">
        <v>3137</v>
      </c>
      <c r="I343" s="174" t="s">
        <v>3138</v>
      </c>
      <c r="J343" s="174" t="s">
        <v>3139</v>
      </c>
      <c r="K343" s="174" t="s">
        <v>3140</v>
      </c>
      <c r="L343" s="174" t="s">
        <v>3141</v>
      </c>
      <c r="M343" s="174" t="s">
        <v>3142</v>
      </c>
      <c r="N343" s="174" t="s">
        <v>3143</v>
      </c>
      <c r="Y343" s="174" t="s">
        <v>2939</v>
      </c>
      <c r="Z343" s="174" t="s">
        <v>3144</v>
      </c>
      <c r="AA343" s="174" t="s">
        <v>2940</v>
      </c>
      <c r="AB343" s="174" t="s">
        <v>2067</v>
      </c>
      <c r="AC343" s="174" t="s">
        <v>3145</v>
      </c>
      <c r="AD343" s="174" t="s">
        <v>2969</v>
      </c>
      <c r="AE343" s="174" t="s">
        <v>2188</v>
      </c>
      <c r="AF343" s="174" t="s">
        <v>3146</v>
      </c>
      <c r="AG343" s="174" t="s">
        <v>2701</v>
      </c>
      <c r="AH343" s="174" t="s">
        <v>3147</v>
      </c>
      <c r="AI343" s="174" t="s">
        <v>3148</v>
      </c>
      <c r="AU343" s="174" t="s">
        <v>248</v>
      </c>
      <c r="AV343" s="174" t="s">
        <v>248</v>
      </c>
      <c r="AW343" s="174" t="s">
        <v>248</v>
      </c>
    </row>
    <row r="344" spans="5:49" ht="13.35" customHeight="1" x14ac:dyDescent="0.2">
      <c r="E344" s="221" t="s">
        <v>3149</v>
      </c>
      <c r="F344" s="174">
        <v>43</v>
      </c>
      <c r="G344" s="174" t="s">
        <v>2261</v>
      </c>
      <c r="H344" s="174" t="s">
        <v>3071</v>
      </c>
      <c r="I344" s="174" t="s">
        <v>3150</v>
      </c>
      <c r="J344" s="174" t="s">
        <v>3151</v>
      </c>
      <c r="K344" s="174" t="s">
        <v>2576</v>
      </c>
      <c r="L344" s="174" t="s">
        <v>3152</v>
      </c>
      <c r="M344" s="174" t="s">
        <v>2811</v>
      </c>
      <c r="Y344" s="174" t="s">
        <v>2927</v>
      </c>
      <c r="Z344" s="174" t="s">
        <v>3153</v>
      </c>
      <c r="AA344" s="174" t="s">
        <v>2199</v>
      </c>
      <c r="AB344" s="174" t="s">
        <v>2644</v>
      </c>
      <c r="AC344" s="174" t="s">
        <v>2753</v>
      </c>
      <c r="AD344" s="174" t="s">
        <v>2358</v>
      </c>
      <c r="AE344" s="174" t="s">
        <v>2754</v>
      </c>
      <c r="AF344" s="174" t="s">
        <v>3121</v>
      </c>
      <c r="AG344" s="174" t="s">
        <v>2566</v>
      </c>
      <c r="AH344" s="174" t="s">
        <v>3135</v>
      </c>
      <c r="AI344" s="174" t="s">
        <v>3079</v>
      </c>
      <c r="AU344" s="174" t="s">
        <v>248</v>
      </c>
      <c r="AV344" s="174" t="s">
        <v>248</v>
      </c>
      <c r="AW344" s="174" t="s">
        <v>248</v>
      </c>
    </row>
    <row r="345" spans="5:49" ht="13.35" customHeight="1" x14ac:dyDescent="0.2">
      <c r="E345" s="221" t="s">
        <v>3154</v>
      </c>
      <c r="F345" s="174">
        <v>128</v>
      </c>
      <c r="G345" s="174" t="s">
        <v>206</v>
      </c>
      <c r="H345" s="174" t="s">
        <v>3155</v>
      </c>
      <c r="I345" s="174" t="s">
        <v>3156</v>
      </c>
      <c r="J345" s="174" t="s">
        <v>2811</v>
      </c>
      <c r="Y345" s="174" t="s">
        <v>2452</v>
      </c>
      <c r="Z345" s="174" t="s">
        <v>2980</v>
      </c>
      <c r="AB345" s="174" t="s">
        <v>2115</v>
      </c>
      <c r="AC345" s="174" t="s">
        <v>2480</v>
      </c>
      <c r="AD345" s="174" t="s">
        <v>2231</v>
      </c>
      <c r="AE345" s="174" t="s">
        <v>3157</v>
      </c>
      <c r="AF345" s="174" t="s">
        <v>2071</v>
      </c>
      <c r="AG345" s="174" t="s">
        <v>2313</v>
      </c>
      <c r="AH345" s="174" t="s">
        <v>2454</v>
      </c>
      <c r="AI345" s="174" t="s">
        <v>2455</v>
      </c>
      <c r="AJ345" s="174" t="s">
        <v>2943</v>
      </c>
      <c r="AK345" s="174" t="s">
        <v>2047</v>
      </c>
      <c r="AU345" s="174" t="s">
        <v>248</v>
      </c>
      <c r="AV345" s="174" t="s">
        <v>248</v>
      </c>
      <c r="AW345" s="174" t="s">
        <v>248</v>
      </c>
    </row>
    <row r="346" spans="5:49" ht="13.35" customHeight="1" x14ac:dyDescent="0.2">
      <c r="E346" s="221" t="s">
        <v>3158</v>
      </c>
      <c r="F346" s="174">
        <v>97</v>
      </c>
      <c r="G346" s="174" t="s">
        <v>206</v>
      </c>
      <c r="H346" s="174" t="s">
        <v>3159</v>
      </c>
      <c r="I346" s="174" t="s">
        <v>3072</v>
      </c>
      <c r="J346" s="174" t="s">
        <v>3160</v>
      </c>
      <c r="K346" s="174" t="s">
        <v>2576</v>
      </c>
      <c r="L346" s="174" t="s">
        <v>3161</v>
      </c>
      <c r="M346" s="174" t="s">
        <v>3162</v>
      </c>
      <c r="Y346" s="174" t="s">
        <v>3163</v>
      </c>
      <c r="Z346" s="174" t="s">
        <v>3164</v>
      </c>
      <c r="AA346" s="174" t="s">
        <v>2231</v>
      </c>
      <c r="AB346" s="174" t="s">
        <v>2232</v>
      </c>
      <c r="AC346" s="174" t="s">
        <v>3165</v>
      </c>
      <c r="AD346" s="174" t="s">
        <v>3166</v>
      </c>
      <c r="AE346" s="174" t="s">
        <v>2581</v>
      </c>
      <c r="AF346" s="174" t="s">
        <v>3167</v>
      </c>
      <c r="AU346" s="174" t="s">
        <v>248</v>
      </c>
      <c r="AV346" s="174" t="s">
        <v>248</v>
      </c>
      <c r="AW346" s="174" t="s">
        <v>248</v>
      </c>
    </row>
    <row r="347" spans="5:49" ht="13.35" customHeight="1" x14ac:dyDescent="0.2">
      <c r="E347" s="221" t="s">
        <v>3168</v>
      </c>
      <c r="F347" s="174">
        <v>32</v>
      </c>
      <c r="G347" s="174" t="s">
        <v>206</v>
      </c>
      <c r="H347" s="174" t="s">
        <v>2014</v>
      </c>
      <c r="I347" s="174" t="s">
        <v>2376</v>
      </c>
      <c r="J347" s="174" t="s">
        <v>3169</v>
      </c>
      <c r="K347" s="174" t="s">
        <v>2878</v>
      </c>
      <c r="L347" s="174" t="s">
        <v>3087</v>
      </c>
      <c r="Y347" s="174" t="s">
        <v>2019</v>
      </c>
      <c r="Z347" s="174" t="s">
        <v>2872</v>
      </c>
      <c r="AA347" s="174" t="s">
        <v>2384</v>
      </c>
      <c r="AB347" s="174" t="s">
        <v>3170</v>
      </c>
      <c r="AC347" s="174" t="s">
        <v>3171</v>
      </c>
      <c r="AD347" s="174" t="s">
        <v>2117</v>
      </c>
      <c r="AE347" s="174" t="s">
        <v>2164</v>
      </c>
      <c r="AF347" s="174" t="s">
        <v>2140</v>
      </c>
      <c r="AG347" s="174" t="s">
        <v>3172</v>
      </c>
      <c r="AH347" s="174" t="s">
        <v>3173</v>
      </c>
      <c r="AI347" s="174" t="s">
        <v>2047</v>
      </c>
      <c r="AJ347" s="174" t="s">
        <v>2202</v>
      </c>
      <c r="AK347" s="174" t="s">
        <v>2790</v>
      </c>
      <c r="AU347" s="174" t="s">
        <v>248</v>
      </c>
      <c r="AV347" s="174" t="s">
        <v>248</v>
      </c>
      <c r="AW347" s="174" t="s">
        <v>248</v>
      </c>
    </row>
    <row r="348" spans="5:49" ht="13.35" customHeight="1" x14ac:dyDescent="0.2">
      <c r="E348" s="221" t="s">
        <v>3174</v>
      </c>
      <c r="F348" s="174">
        <v>85</v>
      </c>
      <c r="G348" s="174" t="s">
        <v>2261</v>
      </c>
      <c r="H348" s="174" t="s">
        <v>3175</v>
      </c>
      <c r="I348" s="174" t="s">
        <v>3176</v>
      </c>
      <c r="J348" s="174" t="s">
        <v>3177</v>
      </c>
      <c r="K348" s="174" t="s">
        <v>3178</v>
      </c>
      <c r="L348" s="174" t="s">
        <v>3179</v>
      </c>
      <c r="M348" s="174" t="s">
        <v>3180</v>
      </c>
      <c r="N348" s="174" t="s">
        <v>3181</v>
      </c>
      <c r="Y348" s="174" t="s">
        <v>2048</v>
      </c>
      <c r="Z348" s="174" t="s">
        <v>3108</v>
      </c>
      <c r="AA348" s="174" t="s">
        <v>3109</v>
      </c>
      <c r="AB348" s="174" t="s">
        <v>2287</v>
      </c>
      <c r="AC348" s="174" t="s">
        <v>3110</v>
      </c>
      <c r="AD348" s="174" t="s">
        <v>3182</v>
      </c>
      <c r="AE348" s="174" t="s">
        <v>3183</v>
      </c>
      <c r="AF348" s="174" t="s">
        <v>3133</v>
      </c>
      <c r="AG348" s="174" t="s">
        <v>3184</v>
      </c>
      <c r="AH348" s="174" t="s">
        <v>3185</v>
      </c>
      <c r="AU348" s="174" t="s">
        <v>248</v>
      </c>
      <c r="AV348" s="174" t="s">
        <v>248</v>
      </c>
      <c r="AW348" s="174" t="s">
        <v>248</v>
      </c>
    </row>
    <row r="349" spans="5:49" ht="13.35" customHeight="1" x14ac:dyDescent="0.2">
      <c r="E349" s="221" t="s">
        <v>3186</v>
      </c>
      <c r="F349" s="174">
        <v>28</v>
      </c>
      <c r="G349" s="174" t="s">
        <v>206</v>
      </c>
      <c r="H349" s="174" t="s">
        <v>3187</v>
      </c>
      <c r="I349" s="174" t="s">
        <v>3188</v>
      </c>
      <c r="J349" s="174" t="s">
        <v>3189</v>
      </c>
      <c r="K349" s="174" t="s">
        <v>3190</v>
      </c>
      <c r="Y349" s="174" t="s">
        <v>3191</v>
      </c>
      <c r="Z349" s="174" t="s">
        <v>3192</v>
      </c>
      <c r="AA349" s="174" t="s">
        <v>2115</v>
      </c>
      <c r="AB349" s="174" t="s">
        <v>3193</v>
      </c>
      <c r="AC349" s="174" t="s">
        <v>2231</v>
      </c>
      <c r="AD349" s="174" t="s">
        <v>2788</v>
      </c>
      <c r="AE349" s="174" t="s">
        <v>3194</v>
      </c>
      <c r="AF349" s="174" t="s">
        <v>2139</v>
      </c>
      <c r="AU349" s="174" t="s">
        <v>248</v>
      </c>
      <c r="AV349" s="174" t="s">
        <v>248</v>
      </c>
      <c r="AW349" s="174" t="s">
        <v>248</v>
      </c>
    </row>
    <row r="350" spans="5:49" ht="13.35" customHeight="1" x14ac:dyDescent="0.2">
      <c r="E350" s="221" t="s">
        <v>3195</v>
      </c>
      <c r="F350" s="174">
        <v>45</v>
      </c>
      <c r="G350" s="174" t="s">
        <v>206</v>
      </c>
      <c r="H350" s="174" t="s">
        <v>3196</v>
      </c>
      <c r="I350" s="174" t="s">
        <v>3197</v>
      </c>
      <c r="J350" s="174" t="s">
        <v>3198</v>
      </c>
      <c r="K350" s="174" t="s">
        <v>3199</v>
      </c>
      <c r="L350" s="174" t="s">
        <v>3200</v>
      </c>
      <c r="M350" s="174" t="s">
        <v>3201</v>
      </c>
      <c r="N350" s="174" t="s">
        <v>3202</v>
      </c>
      <c r="Y350" s="174" t="s">
        <v>2023</v>
      </c>
      <c r="Z350" s="174" t="s">
        <v>2980</v>
      </c>
      <c r="AA350" s="174" t="s">
        <v>2029</v>
      </c>
      <c r="AB350" s="174" t="s">
        <v>3203</v>
      </c>
      <c r="AC350" s="174" t="s">
        <v>3204</v>
      </c>
      <c r="AD350" s="174" t="s">
        <v>2117</v>
      </c>
      <c r="AE350" s="174" t="s">
        <v>3078</v>
      </c>
      <c r="AF350" s="174" t="s">
        <v>2700</v>
      </c>
      <c r="AG350" s="174" t="s">
        <v>2187</v>
      </c>
      <c r="AH350" s="174" t="s">
        <v>2896</v>
      </c>
      <c r="AI350" s="174" t="s">
        <v>2159</v>
      </c>
      <c r="AJ350" s="174" t="s">
        <v>2160</v>
      </c>
      <c r="AK350" s="174" t="s">
        <v>2179</v>
      </c>
      <c r="AL350" s="174" t="s">
        <v>3205</v>
      </c>
      <c r="AU350" s="174" t="s">
        <v>248</v>
      </c>
      <c r="AV350" s="174" t="s">
        <v>248</v>
      </c>
      <c r="AW350" s="174" t="s">
        <v>248</v>
      </c>
    </row>
    <row r="351" spans="5:49" ht="13.35" customHeight="1" x14ac:dyDescent="0.2">
      <c r="E351" s="221" t="s">
        <v>3206</v>
      </c>
      <c r="F351" s="174">
        <v>44</v>
      </c>
      <c r="G351" s="174" t="s">
        <v>206</v>
      </c>
      <c r="H351" s="174" t="s">
        <v>3207</v>
      </c>
      <c r="I351" s="174" t="s">
        <v>3208</v>
      </c>
      <c r="J351" s="174" t="s">
        <v>3175</v>
      </c>
      <c r="K351" s="174" t="s">
        <v>3209</v>
      </c>
      <c r="L351" s="174" t="s">
        <v>3210</v>
      </c>
      <c r="M351" s="174" t="s">
        <v>3211</v>
      </c>
      <c r="Y351" s="174" t="s">
        <v>2226</v>
      </c>
      <c r="Z351" s="174" t="s">
        <v>3193</v>
      </c>
      <c r="AA351" s="174" t="s">
        <v>2162</v>
      </c>
      <c r="AB351" s="174" t="s">
        <v>2072</v>
      </c>
      <c r="AC351" s="174" t="s">
        <v>3212</v>
      </c>
      <c r="AD351" s="174" t="s">
        <v>2913</v>
      </c>
      <c r="AE351" s="174" t="s">
        <v>3213</v>
      </c>
      <c r="AF351" s="174" t="s">
        <v>3214</v>
      </c>
      <c r="AU351" s="174" t="s">
        <v>248</v>
      </c>
      <c r="AV351" s="174" t="s">
        <v>248</v>
      </c>
      <c r="AW351" s="174" t="s">
        <v>248</v>
      </c>
    </row>
    <row r="352" spans="5:49" ht="13.35" customHeight="1" x14ac:dyDescent="0.2">
      <c r="E352" s="221" t="s">
        <v>3215</v>
      </c>
      <c r="F352" s="174">
        <v>45</v>
      </c>
      <c r="G352" s="174" t="s">
        <v>206</v>
      </c>
      <c r="H352" s="174" t="s">
        <v>3216</v>
      </c>
      <c r="I352" s="174" t="s">
        <v>3217</v>
      </c>
      <c r="J352" s="174" t="s">
        <v>3218</v>
      </c>
      <c r="K352" s="174" t="s">
        <v>3219</v>
      </c>
      <c r="L352" s="174" t="s">
        <v>3220</v>
      </c>
      <c r="M352" s="174" t="s">
        <v>3221</v>
      </c>
      <c r="N352" s="174" t="s">
        <v>3222</v>
      </c>
      <c r="Y352" s="174" t="s">
        <v>2428</v>
      </c>
      <c r="Z352" s="174" t="s">
        <v>2980</v>
      </c>
      <c r="AA352" s="174" t="s">
        <v>2115</v>
      </c>
      <c r="AB352" s="174" t="s">
        <v>2247</v>
      </c>
      <c r="AC352" s="174" t="s">
        <v>2165</v>
      </c>
      <c r="AD352" s="174" t="s">
        <v>2980</v>
      </c>
      <c r="AE352" s="174" t="s">
        <v>2188</v>
      </c>
      <c r="AF352" s="174" t="s">
        <v>2160</v>
      </c>
      <c r="AG352" s="174" t="s">
        <v>2583</v>
      </c>
      <c r="AH352" s="174" t="s">
        <v>2160</v>
      </c>
      <c r="AI352" s="174" t="s">
        <v>2292</v>
      </c>
      <c r="AJ352" s="174" t="s">
        <v>3223</v>
      </c>
      <c r="AU352" s="174" t="s">
        <v>248</v>
      </c>
      <c r="AV352" s="174" t="s">
        <v>248</v>
      </c>
      <c r="AW352" s="174" t="s">
        <v>248</v>
      </c>
    </row>
    <row r="353" spans="5:49" ht="13.35" customHeight="1" x14ac:dyDescent="0.2">
      <c r="E353" s="221" t="s">
        <v>3224</v>
      </c>
      <c r="F353" s="174">
        <v>52</v>
      </c>
      <c r="G353" s="174" t="s">
        <v>206</v>
      </c>
      <c r="H353" s="174" t="s">
        <v>3225</v>
      </c>
      <c r="I353" s="174" t="s">
        <v>3072</v>
      </c>
      <c r="J353" s="174" t="s">
        <v>3226</v>
      </c>
      <c r="K353" s="174" t="s">
        <v>3227</v>
      </c>
      <c r="L353" s="174" t="s">
        <v>3228</v>
      </c>
      <c r="M353" s="174" t="s">
        <v>3229</v>
      </c>
      <c r="Y353" s="174" t="s">
        <v>2479</v>
      </c>
      <c r="Z353" s="174" t="s">
        <v>3230</v>
      </c>
      <c r="AA353" s="174" t="s">
        <v>2676</v>
      </c>
      <c r="AB353" s="174" t="s">
        <v>2023</v>
      </c>
      <c r="AC353" s="174" t="s">
        <v>3231</v>
      </c>
      <c r="AD353" s="174" t="s">
        <v>3232</v>
      </c>
      <c r="AE353" s="174" t="s">
        <v>3233</v>
      </c>
      <c r="AF353" s="174" t="s">
        <v>2199</v>
      </c>
      <c r="AG353" s="174" t="s">
        <v>2690</v>
      </c>
      <c r="AH353" s="174" t="s">
        <v>3234</v>
      </c>
      <c r="AI353" s="174" t="s">
        <v>2789</v>
      </c>
      <c r="AU353" s="174" t="s">
        <v>248</v>
      </c>
      <c r="AV353" s="174" t="s">
        <v>248</v>
      </c>
      <c r="AW353" s="174" t="s">
        <v>248</v>
      </c>
    </row>
    <row r="354" spans="5:49" ht="13.35" customHeight="1" x14ac:dyDescent="0.2">
      <c r="E354" s="221" t="s">
        <v>396</v>
      </c>
      <c r="F354" s="174">
        <v>14</v>
      </c>
      <c r="G354" s="174" t="s">
        <v>206</v>
      </c>
      <c r="H354" s="174" t="s">
        <v>3235</v>
      </c>
      <c r="I354" s="174" t="s">
        <v>3236</v>
      </c>
      <c r="J354" s="174" t="s">
        <v>3237</v>
      </c>
      <c r="K354" s="174" t="s">
        <v>3238</v>
      </c>
      <c r="L354" s="174" t="s">
        <v>3239</v>
      </c>
      <c r="M354" s="174" t="s">
        <v>3240</v>
      </c>
      <c r="Y354" s="174" t="s">
        <v>3241</v>
      </c>
      <c r="Z354" s="174" t="s">
        <v>2019</v>
      </c>
      <c r="AA354" s="174" t="s">
        <v>2872</v>
      </c>
      <c r="AB354" s="174" t="s">
        <v>2115</v>
      </c>
      <c r="AC354" s="174" t="s">
        <v>2139</v>
      </c>
      <c r="AD354" s="174" t="s">
        <v>2179</v>
      </c>
      <c r="AU354" s="174" t="s">
        <v>248</v>
      </c>
      <c r="AV354" s="174" t="s">
        <v>248</v>
      </c>
      <c r="AW354" s="174" t="s">
        <v>248</v>
      </c>
    </row>
    <row r="355" spans="5:49" ht="13.35" customHeight="1" x14ac:dyDescent="0.2">
      <c r="E355" s="221" t="s">
        <v>3242</v>
      </c>
      <c r="F355" s="174">
        <v>72</v>
      </c>
      <c r="G355" s="174" t="s">
        <v>2261</v>
      </c>
      <c r="H355" s="174" t="s">
        <v>2576</v>
      </c>
      <c r="I355" s="174" t="s">
        <v>3243</v>
      </c>
      <c r="J355" s="174" t="s">
        <v>2216</v>
      </c>
      <c r="K355" s="174" t="s">
        <v>2217</v>
      </c>
      <c r="L355" s="174" t="s">
        <v>2218</v>
      </c>
      <c r="M355" s="174" t="s">
        <v>2219</v>
      </c>
      <c r="N355" s="174" t="s">
        <v>3220</v>
      </c>
      <c r="O355" s="174" t="s">
        <v>3244</v>
      </c>
      <c r="P355" s="174" t="s">
        <v>3245</v>
      </c>
      <c r="Y355" s="174" t="s">
        <v>2226</v>
      </c>
      <c r="Z355" s="174" t="s">
        <v>2676</v>
      </c>
      <c r="AA355" s="174" t="s">
        <v>2031</v>
      </c>
      <c r="AB355" s="174" t="s">
        <v>2032</v>
      </c>
      <c r="AC355" s="174" t="s">
        <v>3246</v>
      </c>
      <c r="AD355" s="174" t="s">
        <v>3247</v>
      </c>
      <c r="AE355" s="174" t="s">
        <v>2583</v>
      </c>
      <c r="AF355" s="174" t="s">
        <v>2160</v>
      </c>
      <c r="AG355" s="174" t="s">
        <v>2292</v>
      </c>
      <c r="AH355" s="174" t="s">
        <v>2160</v>
      </c>
      <c r="AU355" s="174" t="s">
        <v>248</v>
      </c>
      <c r="AV355" s="174" t="s">
        <v>248</v>
      </c>
      <c r="AW355" s="174" t="s">
        <v>248</v>
      </c>
    </row>
    <row r="356" spans="5:49" ht="13.35" customHeight="1" x14ac:dyDescent="0.2">
      <c r="E356" s="221" t="s">
        <v>3248</v>
      </c>
      <c r="F356" s="174">
        <v>22</v>
      </c>
      <c r="G356" s="174" t="s">
        <v>206</v>
      </c>
      <c r="H356" s="174" t="s">
        <v>2402</v>
      </c>
      <c r="I356" s="174" t="s">
        <v>3249</v>
      </c>
      <c r="J356" s="174" t="s">
        <v>3070</v>
      </c>
      <c r="K356" s="174" t="s">
        <v>2132</v>
      </c>
      <c r="L356" s="174" t="s">
        <v>3250</v>
      </c>
      <c r="M356" s="174" t="s">
        <v>3251</v>
      </c>
      <c r="N356" s="174" t="s">
        <v>3252</v>
      </c>
      <c r="O356" s="174" t="s">
        <v>3253</v>
      </c>
      <c r="Y356" s="174" t="s">
        <v>2411</v>
      </c>
      <c r="Z356" s="174" t="s">
        <v>3230</v>
      </c>
      <c r="AA356" s="174" t="s">
        <v>2837</v>
      </c>
      <c r="AB356" s="174" t="s">
        <v>3254</v>
      </c>
      <c r="AC356" s="174" t="s">
        <v>2231</v>
      </c>
      <c r="AD356" s="174" t="s">
        <v>3255</v>
      </c>
      <c r="AE356" s="174" t="s">
        <v>2752</v>
      </c>
      <c r="AF356" s="174" t="s">
        <v>2162</v>
      </c>
      <c r="AG356" s="174" t="s">
        <v>2386</v>
      </c>
      <c r="AH356" s="174" t="s">
        <v>3256</v>
      </c>
      <c r="AI356" s="174" t="s">
        <v>3257</v>
      </c>
      <c r="AJ356" s="174" t="s">
        <v>2930</v>
      </c>
      <c r="AK356" s="174" t="s">
        <v>2743</v>
      </c>
      <c r="AL356" s="174" t="s">
        <v>2354</v>
      </c>
      <c r="AM356" s="174" t="s">
        <v>2139</v>
      </c>
      <c r="AU356" s="174" t="s">
        <v>248</v>
      </c>
      <c r="AV356" s="174" t="s">
        <v>248</v>
      </c>
      <c r="AW356" s="174" t="s">
        <v>248</v>
      </c>
    </row>
    <row r="357" spans="5:49" ht="13.35" customHeight="1" x14ac:dyDescent="0.2">
      <c r="E357" s="221" t="s">
        <v>3258</v>
      </c>
      <c r="F357" s="174">
        <v>98</v>
      </c>
      <c r="G357" s="174" t="s">
        <v>206</v>
      </c>
      <c r="H357" s="174" t="s">
        <v>3259</v>
      </c>
      <c r="I357" s="174" t="s">
        <v>3260</v>
      </c>
      <c r="J357" s="174" t="s">
        <v>3261</v>
      </c>
      <c r="K357" s="174" t="s">
        <v>3262</v>
      </c>
      <c r="L357" s="174" t="s">
        <v>3263</v>
      </c>
      <c r="M357" s="174" t="s">
        <v>3264</v>
      </c>
      <c r="Y357" s="174" t="s">
        <v>2178</v>
      </c>
      <c r="Z357" s="174" t="s">
        <v>2198</v>
      </c>
      <c r="AA357" s="174" t="s">
        <v>2258</v>
      </c>
      <c r="AB357" s="174" t="s">
        <v>3265</v>
      </c>
      <c r="AC357" s="174" t="s">
        <v>2231</v>
      </c>
      <c r="AD357" s="174" t="s">
        <v>2232</v>
      </c>
      <c r="AE357" s="174" t="s">
        <v>2162</v>
      </c>
      <c r="AF357" s="174" t="s">
        <v>2812</v>
      </c>
      <c r="AG357" s="174" t="s">
        <v>2238</v>
      </c>
      <c r="AH357" s="174" t="s">
        <v>2842</v>
      </c>
      <c r="AI357" s="174" t="s">
        <v>2843</v>
      </c>
      <c r="AJ357" s="174" t="s">
        <v>2499</v>
      </c>
      <c r="AK357" s="174" t="s">
        <v>3020</v>
      </c>
      <c r="AL357" s="174" t="s">
        <v>3266</v>
      </c>
      <c r="AM357" s="174" t="s">
        <v>3267</v>
      </c>
      <c r="AU357" s="174" t="s">
        <v>248</v>
      </c>
      <c r="AV357" s="174" t="s">
        <v>248</v>
      </c>
      <c r="AW357" s="174" t="s">
        <v>248</v>
      </c>
    </row>
    <row r="358" spans="5:49" ht="13.35" customHeight="1" x14ac:dyDescent="0.2">
      <c r="E358" s="221" t="s">
        <v>3268</v>
      </c>
      <c r="F358" s="174">
        <v>74</v>
      </c>
      <c r="G358" s="174" t="s">
        <v>206</v>
      </c>
      <c r="H358" s="174" t="s">
        <v>3269</v>
      </c>
      <c r="I358" s="174" t="s">
        <v>2973</v>
      </c>
      <c r="J358" s="174" t="s">
        <v>3270</v>
      </c>
      <c r="K358" s="174" t="s">
        <v>3271</v>
      </c>
      <c r="L358" s="174" t="s">
        <v>3272</v>
      </c>
      <c r="Y358" s="174" t="s">
        <v>3163</v>
      </c>
      <c r="Z358" s="174" t="s">
        <v>3273</v>
      </c>
      <c r="AA358" s="174" t="s">
        <v>2199</v>
      </c>
      <c r="AB358" s="174" t="s">
        <v>2981</v>
      </c>
      <c r="AC358" s="174" t="s">
        <v>3274</v>
      </c>
      <c r="AD358" s="174" t="s">
        <v>3275</v>
      </c>
      <c r="AU358" s="174" t="s">
        <v>248</v>
      </c>
      <c r="AV358" s="174" t="s">
        <v>248</v>
      </c>
      <c r="AW358" s="174" t="s">
        <v>248</v>
      </c>
    </row>
    <row r="359" spans="5:49" ht="13.35" customHeight="1" x14ac:dyDescent="0.2">
      <c r="E359" s="221" t="s">
        <v>3276</v>
      </c>
      <c r="F359" s="174">
        <v>41</v>
      </c>
      <c r="G359" s="174" t="s">
        <v>206</v>
      </c>
      <c r="H359" s="174" t="s">
        <v>3277</v>
      </c>
      <c r="I359" s="174" t="s">
        <v>3105</v>
      </c>
      <c r="J359" s="174" t="s">
        <v>3073</v>
      </c>
      <c r="K359" s="174" t="s">
        <v>3278</v>
      </c>
      <c r="L359" s="174" t="s">
        <v>3279</v>
      </c>
      <c r="Y359" s="174" t="s">
        <v>2411</v>
      </c>
      <c r="Z359" s="174" t="s">
        <v>2047</v>
      </c>
      <c r="AA359" s="174" t="s">
        <v>2115</v>
      </c>
      <c r="AB359" s="174" t="s">
        <v>2314</v>
      </c>
      <c r="AC359" s="174" t="s">
        <v>3280</v>
      </c>
      <c r="AD359" s="174" t="s">
        <v>2980</v>
      </c>
      <c r="AE359" s="174" t="s">
        <v>2231</v>
      </c>
      <c r="AF359" s="174" t="s">
        <v>2047</v>
      </c>
      <c r="AG359" s="174" t="s">
        <v>2358</v>
      </c>
      <c r="AH359" s="174" t="s">
        <v>2400</v>
      </c>
      <c r="AU359" s="174" t="s">
        <v>248</v>
      </c>
      <c r="AV359" s="174" t="s">
        <v>248</v>
      </c>
      <c r="AW359" s="174" t="s">
        <v>248</v>
      </c>
    </row>
    <row r="360" spans="5:49" ht="13.35" customHeight="1" x14ac:dyDescent="0.2">
      <c r="E360" s="221" t="s">
        <v>3281</v>
      </c>
      <c r="F360" s="174">
        <v>29</v>
      </c>
      <c r="G360" s="174" t="s">
        <v>206</v>
      </c>
      <c r="H360" s="174" t="s">
        <v>3282</v>
      </c>
      <c r="I360" s="174" t="s">
        <v>3283</v>
      </c>
      <c r="J360" s="174" t="s">
        <v>3284</v>
      </c>
      <c r="K360" s="174" t="s">
        <v>3285</v>
      </c>
      <c r="L360" s="174" t="s">
        <v>3286</v>
      </c>
      <c r="Y360" s="174" t="s">
        <v>2751</v>
      </c>
      <c r="Z360" s="174" t="s">
        <v>3077</v>
      </c>
      <c r="AA360" s="174" t="s">
        <v>2287</v>
      </c>
      <c r="AB360" s="174" t="s">
        <v>3287</v>
      </c>
      <c r="AC360" s="174" t="s">
        <v>2873</v>
      </c>
      <c r="AD360" s="174" t="s">
        <v>3288</v>
      </c>
      <c r="AE360" s="174" t="s">
        <v>2292</v>
      </c>
      <c r="AF360" s="174" t="s">
        <v>3289</v>
      </c>
      <c r="AG360" s="174" t="s">
        <v>3290</v>
      </c>
      <c r="AH360" s="174" t="s">
        <v>2160</v>
      </c>
      <c r="AU360" s="174" t="s">
        <v>248</v>
      </c>
      <c r="AV360" s="174" t="s">
        <v>248</v>
      </c>
      <c r="AW360" s="174" t="s">
        <v>248</v>
      </c>
    </row>
    <row r="361" spans="5:49" ht="13.35" customHeight="1" x14ac:dyDescent="0.2">
      <c r="E361" s="221" t="s">
        <v>3291</v>
      </c>
      <c r="F361" s="174">
        <v>132</v>
      </c>
      <c r="G361" s="174" t="s">
        <v>206</v>
      </c>
      <c r="H361" s="174" t="s">
        <v>3292</v>
      </c>
      <c r="I361" s="174" t="s">
        <v>3293</v>
      </c>
      <c r="J361" s="174" t="s">
        <v>3294</v>
      </c>
      <c r="K361" s="174" t="s">
        <v>3295</v>
      </c>
      <c r="Y361" s="174" t="s">
        <v>2479</v>
      </c>
      <c r="Z361" s="174" t="s">
        <v>3296</v>
      </c>
      <c r="AA361" s="174" t="s">
        <v>2400</v>
      </c>
      <c r="AB361" s="174" t="s">
        <v>2269</v>
      </c>
      <c r="AC361" s="174" t="s">
        <v>2327</v>
      </c>
      <c r="AD361" s="174" t="s">
        <v>2231</v>
      </c>
      <c r="AE361" s="174" t="s">
        <v>2160</v>
      </c>
      <c r="AF361" s="174" t="s">
        <v>2162</v>
      </c>
      <c r="AG361" s="174" t="s">
        <v>3212</v>
      </c>
      <c r="AH361" s="174" t="s">
        <v>2387</v>
      </c>
      <c r="AI361" s="174" t="s">
        <v>2388</v>
      </c>
      <c r="AJ361" s="174" t="s">
        <v>2238</v>
      </c>
      <c r="AK361" s="174" t="s">
        <v>3297</v>
      </c>
      <c r="AU361" s="174" t="s">
        <v>248</v>
      </c>
      <c r="AV361" s="174" t="s">
        <v>248</v>
      </c>
      <c r="AW361" s="174" t="s">
        <v>248</v>
      </c>
    </row>
    <row r="362" spans="5:49" ht="13.35" customHeight="1" x14ac:dyDescent="0.2">
      <c r="E362" s="221" t="s">
        <v>3298</v>
      </c>
      <c r="F362" s="174">
        <v>113</v>
      </c>
      <c r="G362" s="174" t="s">
        <v>2261</v>
      </c>
      <c r="H362" s="174" t="s">
        <v>3159</v>
      </c>
      <c r="I362" s="174" t="s">
        <v>3299</v>
      </c>
      <c r="J362" s="174" t="s">
        <v>3300</v>
      </c>
      <c r="K362" s="174" t="s">
        <v>3175</v>
      </c>
      <c r="L362" s="174" t="s">
        <v>3152</v>
      </c>
      <c r="M362" s="174" t="s">
        <v>3073</v>
      </c>
      <c r="N362" s="174" t="s">
        <v>3073</v>
      </c>
      <c r="O362" s="174" t="s">
        <v>2268</v>
      </c>
      <c r="Y362" s="174" t="s">
        <v>2029</v>
      </c>
      <c r="Z362" s="174" t="s">
        <v>2787</v>
      </c>
      <c r="AA362" s="174" t="s">
        <v>2231</v>
      </c>
      <c r="AB362" s="174" t="s">
        <v>2273</v>
      </c>
      <c r="AC362" s="174" t="s">
        <v>2162</v>
      </c>
      <c r="AD362" s="174" t="s">
        <v>3121</v>
      </c>
      <c r="AE362" s="174" t="s">
        <v>2566</v>
      </c>
      <c r="AF362" s="174" t="s">
        <v>2032</v>
      </c>
      <c r="AG362" s="174" t="s">
        <v>2647</v>
      </c>
      <c r="AH362" s="174" t="s">
        <v>2916</v>
      </c>
      <c r="AI362" s="174" t="s">
        <v>3301</v>
      </c>
      <c r="AJ362" s="174" t="s">
        <v>2874</v>
      </c>
      <c r="AK362" s="174" t="s">
        <v>2828</v>
      </c>
      <c r="AU362" s="174" t="s">
        <v>248</v>
      </c>
      <c r="AV362" s="174" t="s">
        <v>248</v>
      </c>
      <c r="AW362" s="174" t="s">
        <v>248</v>
      </c>
    </row>
    <row r="363" spans="5:49" ht="13.35" customHeight="1" x14ac:dyDescent="0.2">
      <c r="E363" s="221" t="s">
        <v>3302</v>
      </c>
      <c r="F363" s="174">
        <v>36</v>
      </c>
      <c r="G363" s="174" t="s">
        <v>2261</v>
      </c>
      <c r="H363" s="174" t="s">
        <v>3303</v>
      </c>
      <c r="I363" s="174" t="s">
        <v>3304</v>
      </c>
      <c r="J363" s="174" t="s">
        <v>3305</v>
      </c>
      <c r="K363" s="174" t="s">
        <v>3306</v>
      </c>
      <c r="L363" s="174" t="s">
        <v>3307</v>
      </c>
      <c r="M363" s="174" t="s">
        <v>3308</v>
      </c>
      <c r="Y363" s="174" t="s">
        <v>3241</v>
      </c>
      <c r="Z363" s="174" t="s">
        <v>3309</v>
      </c>
      <c r="AA363" s="174" t="s">
        <v>2025</v>
      </c>
      <c r="AB363" s="174" t="s">
        <v>3310</v>
      </c>
      <c r="AC363" s="174" t="s">
        <v>3311</v>
      </c>
      <c r="AD363" s="174" t="s">
        <v>3311</v>
      </c>
      <c r="AE363" s="174" t="s">
        <v>3311</v>
      </c>
      <c r="AF363" s="174" t="s">
        <v>2440</v>
      </c>
      <c r="AG363" s="174" t="s">
        <v>2259</v>
      </c>
      <c r="AH363" s="174" t="s">
        <v>2139</v>
      </c>
      <c r="AU363" s="174" t="s">
        <v>248</v>
      </c>
      <c r="AV363" s="174" t="s">
        <v>248</v>
      </c>
      <c r="AW363" s="174" t="s">
        <v>248</v>
      </c>
    </row>
    <row r="364" spans="5:49" ht="13.35" customHeight="1" x14ac:dyDescent="0.2">
      <c r="E364" s="221" t="s">
        <v>3312</v>
      </c>
      <c r="F364" s="174">
        <v>30</v>
      </c>
      <c r="G364" s="174" t="s">
        <v>206</v>
      </c>
      <c r="H364" s="174" t="s">
        <v>2014</v>
      </c>
      <c r="I364" s="174" t="s">
        <v>2015</v>
      </c>
      <c r="J364" s="174" t="s">
        <v>3313</v>
      </c>
      <c r="K364" s="174" t="s">
        <v>3071</v>
      </c>
      <c r="L364" s="174" t="s">
        <v>3314</v>
      </c>
      <c r="M364" s="174" t="s">
        <v>3315</v>
      </c>
      <c r="Y364" s="174" t="s">
        <v>3316</v>
      </c>
      <c r="Z364" s="174" t="s">
        <v>2139</v>
      </c>
      <c r="AA364" s="174" t="s">
        <v>2384</v>
      </c>
      <c r="AB364" s="174" t="s">
        <v>2385</v>
      </c>
      <c r="AC364" s="174" t="s">
        <v>2231</v>
      </c>
      <c r="AD364" s="174" t="s">
        <v>3317</v>
      </c>
      <c r="AE364" s="174" t="s">
        <v>2998</v>
      </c>
      <c r="AF364" s="174" t="s">
        <v>2139</v>
      </c>
      <c r="AG364" s="174" t="s">
        <v>2387</v>
      </c>
      <c r="AH364" s="174" t="s">
        <v>2388</v>
      </c>
      <c r="AI364" s="174" t="s">
        <v>2140</v>
      </c>
      <c r="AJ364" s="174" t="s">
        <v>3318</v>
      </c>
      <c r="AK364" s="174" t="s">
        <v>3319</v>
      </c>
      <c r="AL364" s="174" t="s">
        <v>2139</v>
      </c>
      <c r="AU364" s="174" t="s">
        <v>248</v>
      </c>
      <c r="AV364" s="174" t="s">
        <v>248</v>
      </c>
      <c r="AW364" s="174" t="s">
        <v>219</v>
      </c>
    </row>
    <row r="365" spans="5:49" ht="13.35" customHeight="1" x14ac:dyDescent="0.2">
      <c r="E365" s="221" t="s">
        <v>3320</v>
      </c>
      <c r="F365" s="174">
        <v>74</v>
      </c>
      <c r="G365" s="174" t="s">
        <v>2261</v>
      </c>
      <c r="H365" s="174" t="s">
        <v>3321</v>
      </c>
      <c r="I365" s="174" t="s">
        <v>2254</v>
      </c>
      <c r="J365" s="174" t="s">
        <v>3322</v>
      </c>
      <c r="K365" s="174" t="s">
        <v>3159</v>
      </c>
      <c r="L365" s="174" t="s">
        <v>3323</v>
      </c>
      <c r="M365" s="174" t="s">
        <v>3324</v>
      </c>
      <c r="Y365" s="174" t="s">
        <v>2162</v>
      </c>
      <c r="Z365" s="174" t="s">
        <v>3078</v>
      </c>
      <c r="AA365" s="174" t="s">
        <v>2074</v>
      </c>
      <c r="AB365" s="174" t="s">
        <v>2231</v>
      </c>
      <c r="AC365" s="174" t="s">
        <v>2998</v>
      </c>
      <c r="AD365" s="174" t="s">
        <v>2690</v>
      </c>
      <c r="AE365" s="174" t="s">
        <v>2115</v>
      </c>
      <c r="AF365" s="174" t="s">
        <v>2211</v>
      </c>
      <c r="AG365" s="174" t="s">
        <v>2292</v>
      </c>
      <c r="AH365" s="174" t="s">
        <v>2828</v>
      </c>
      <c r="AI365" s="174" t="s">
        <v>2179</v>
      </c>
      <c r="AJ365" s="174" t="s">
        <v>3325</v>
      </c>
      <c r="AK365" s="174" t="s">
        <v>2743</v>
      </c>
      <c r="AL365" s="174" t="s">
        <v>3326</v>
      </c>
      <c r="AM365" s="174" t="s">
        <v>3327</v>
      </c>
      <c r="AU365" s="174" t="s">
        <v>248</v>
      </c>
      <c r="AV365" s="174" t="s">
        <v>248</v>
      </c>
      <c r="AW365" s="174" t="s">
        <v>248</v>
      </c>
    </row>
    <row r="366" spans="5:49" ht="13.35" customHeight="1" x14ac:dyDescent="0.2">
      <c r="E366" s="221" t="s">
        <v>3328</v>
      </c>
      <c r="F366" s="174">
        <v>29</v>
      </c>
      <c r="G366" s="174" t="s">
        <v>206</v>
      </c>
      <c r="H366" s="174" t="s">
        <v>3329</v>
      </c>
      <c r="I366" s="174" t="s">
        <v>2265</v>
      </c>
      <c r="J366" s="174" t="s">
        <v>3330</v>
      </c>
      <c r="K366" s="174" t="s">
        <v>3331</v>
      </c>
      <c r="L366" s="174" t="s">
        <v>3332</v>
      </c>
      <c r="M366" s="174" t="s">
        <v>3333</v>
      </c>
      <c r="Y366" s="174" t="s">
        <v>2927</v>
      </c>
      <c r="Z366" s="174" t="s">
        <v>2139</v>
      </c>
      <c r="AA366" s="174" t="s">
        <v>2231</v>
      </c>
      <c r="AB366" s="174" t="s">
        <v>2410</v>
      </c>
      <c r="AC366" s="174" t="s">
        <v>3334</v>
      </c>
      <c r="AD366" s="174" t="s">
        <v>2139</v>
      </c>
      <c r="AE366" s="174" t="s">
        <v>2115</v>
      </c>
      <c r="AF366" s="174" t="s">
        <v>3335</v>
      </c>
      <c r="AG366" s="174" t="s">
        <v>2743</v>
      </c>
      <c r="AH366" s="174" t="s">
        <v>2160</v>
      </c>
      <c r="AU366" s="174" t="s">
        <v>248</v>
      </c>
      <c r="AV366" s="174" t="s">
        <v>248</v>
      </c>
      <c r="AW366" s="174" t="s">
        <v>248</v>
      </c>
    </row>
    <row r="367" spans="5:49" ht="13.35" customHeight="1" x14ac:dyDescent="0.2">
      <c r="E367" s="221" t="s">
        <v>3336</v>
      </c>
      <c r="F367" s="174">
        <v>95</v>
      </c>
      <c r="G367" s="174" t="s">
        <v>206</v>
      </c>
      <c r="H367" s="174" t="s">
        <v>3337</v>
      </c>
      <c r="I367" s="174" t="s">
        <v>3338</v>
      </c>
      <c r="J367" s="174" t="s">
        <v>3339</v>
      </c>
      <c r="K367" s="174" t="s">
        <v>3340</v>
      </c>
      <c r="L367" s="174" t="s">
        <v>2353</v>
      </c>
      <c r="Y367" s="174" t="s">
        <v>2439</v>
      </c>
      <c r="Z367" s="174" t="s">
        <v>3341</v>
      </c>
      <c r="AA367" s="174" t="s">
        <v>2342</v>
      </c>
      <c r="AB367" s="174" t="s">
        <v>2358</v>
      </c>
      <c r="AC367" s="174" t="s">
        <v>3342</v>
      </c>
      <c r="AD367" s="174" t="s">
        <v>2073</v>
      </c>
      <c r="AE367" s="174" t="s">
        <v>2049</v>
      </c>
      <c r="AF367" s="174" t="s">
        <v>2097</v>
      </c>
      <c r="AG367" s="174" t="s">
        <v>3343</v>
      </c>
      <c r="AH367" s="174" t="s">
        <v>2160</v>
      </c>
      <c r="AI367" s="174" t="s">
        <v>2067</v>
      </c>
      <c r="AJ367" s="174" t="s">
        <v>2160</v>
      </c>
      <c r="AU367" s="174" t="s">
        <v>248</v>
      </c>
      <c r="AV367" s="174" t="s">
        <v>248</v>
      </c>
      <c r="AW367" s="174" t="s">
        <v>217</v>
      </c>
    </row>
    <row r="368" spans="5:49" ht="13.35" customHeight="1" x14ac:dyDescent="0.2">
      <c r="E368" s="221" t="s">
        <v>3344</v>
      </c>
      <c r="F368" s="174">
        <v>76</v>
      </c>
      <c r="G368" s="174" t="s">
        <v>2261</v>
      </c>
      <c r="H368" s="174" t="s">
        <v>2431</v>
      </c>
      <c r="I368" s="174" t="s">
        <v>3071</v>
      </c>
      <c r="J368" s="174" t="s">
        <v>3345</v>
      </c>
      <c r="K368" s="174" t="s">
        <v>3346</v>
      </c>
      <c r="Y368" s="174" t="s">
        <v>3347</v>
      </c>
      <c r="Z368" s="174" t="s">
        <v>2139</v>
      </c>
      <c r="AA368" s="174" t="s">
        <v>2148</v>
      </c>
      <c r="AB368" s="174" t="s">
        <v>2139</v>
      </c>
      <c r="AC368" s="174" t="s">
        <v>3348</v>
      </c>
      <c r="AD368" s="174" t="s">
        <v>2139</v>
      </c>
      <c r="AE368" s="174" t="s">
        <v>2620</v>
      </c>
      <c r="AF368" s="174" t="s">
        <v>2139</v>
      </c>
      <c r="AG368" s="174" t="s">
        <v>3349</v>
      </c>
      <c r="AH368" s="174" t="s">
        <v>3350</v>
      </c>
      <c r="AI368" s="174" t="s">
        <v>3351</v>
      </c>
      <c r="AJ368" s="174" t="s">
        <v>3352</v>
      </c>
      <c r="AK368" s="174" t="s">
        <v>2140</v>
      </c>
      <c r="AL368" s="174" t="s">
        <v>2139</v>
      </c>
      <c r="AM368" s="174" t="s">
        <v>2872</v>
      </c>
      <c r="AN368" s="174" t="s">
        <v>2439</v>
      </c>
      <c r="AO368" s="174" t="s">
        <v>2139</v>
      </c>
      <c r="AP368" s="174" t="s">
        <v>3353</v>
      </c>
      <c r="AQ368" s="174" t="s">
        <v>3354</v>
      </c>
      <c r="AR368" s="174" t="s">
        <v>2300</v>
      </c>
      <c r="AS368" s="174" t="s">
        <v>3355</v>
      </c>
      <c r="AU368" s="174" t="s">
        <v>248</v>
      </c>
      <c r="AV368" s="174" t="s">
        <v>248</v>
      </c>
      <c r="AW368" s="174" t="s">
        <v>3356</v>
      </c>
    </row>
    <row r="369" spans="5:49" ht="13.35" customHeight="1" x14ac:dyDescent="0.2">
      <c r="E369" s="221" t="s">
        <v>3357</v>
      </c>
      <c r="F369" s="174">
        <v>22</v>
      </c>
      <c r="G369" s="174" t="s">
        <v>206</v>
      </c>
      <c r="H369" s="174" t="s">
        <v>3358</v>
      </c>
      <c r="I369" s="174" t="s">
        <v>3359</v>
      </c>
      <c r="J369" s="174" t="s">
        <v>3360</v>
      </c>
      <c r="K369" s="174" t="s">
        <v>3361</v>
      </c>
      <c r="L369" s="174" t="s">
        <v>3362</v>
      </c>
      <c r="M369" s="174" t="s">
        <v>3363</v>
      </c>
      <c r="Y369" s="174" t="s">
        <v>2411</v>
      </c>
      <c r="Z369" s="174" t="s">
        <v>3364</v>
      </c>
      <c r="AA369" s="174" t="s">
        <v>2258</v>
      </c>
      <c r="AB369" s="174" t="s">
        <v>3365</v>
      </c>
      <c r="AC369" s="174" t="s">
        <v>2751</v>
      </c>
      <c r="AD369" s="174" t="s">
        <v>3366</v>
      </c>
      <c r="AE369" s="174" t="s">
        <v>2259</v>
      </c>
      <c r="AF369" s="174" t="s">
        <v>3317</v>
      </c>
      <c r="AU369" s="174" t="s">
        <v>248</v>
      </c>
      <c r="AV369" s="174" t="s">
        <v>248</v>
      </c>
      <c r="AW369" s="174" t="s">
        <v>248</v>
      </c>
    </row>
    <row r="370" spans="5:49" ht="13.35" customHeight="1" x14ac:dyDescent="0.2">
      <c r="E370" s="221" t="s">
        <v>3367</v>
      </c>
      <c r="F370" s="174">
        <v>30</v>
      </c>
      <c r="G370" s="174" t="s">
        <v>206</v>
      </c>
      <c r="H370" s="174" t="s">
        <v>2878</v>
      </c>
      <c r="I370" s="174" t="s">
        <v>3293</v>
      </c>
      <c r="J370" s="174" t="s">
        <v>3368</v>
      </c>
      <c r="K370" s="174" t="s">
        <v>3369</v>
      </c>
      <c r="L370" s="174" t="s">
        <v>3370</v>
      </c>
      <c r="M370" s="174" t="s">
        <v>3371</v>
      </c>
      <c r="Y370" s="174" t="s">
        <v>3372</v>
      </c>
      <c r="Z370" s="174" t="s">
        <v>3373</v>
      </c>
      <c r="AA370" s="174" t="s">
        <v>2139</v>
      </c>
      <c r="AB370" s="174" t="s">
        <v>2927</v>
      </c>
      <c r="AC370" s="174" t="s">
        <v>2836</v>
      </c>
      <c r="AD370" s="174" t="s">
        <v>2387</v>
      </c>
      <c r="AE370" s="174" t="s">
        <v>3374</v>
      </c>
      <c r="AF370" s="174" t="s">
        <v>2238</v>
      </c>
      <c r="AG370" s="174" t="s">
        <v>2139</v>
      </c>
      <c r="AH370" s="174" t="s">
        <v>3002</v>
      </c>
      <c r="AI370" s="174" t="s">
        <v>2515</v>
      </c>
      <c r="AJ370" s="174" t="s">
        <v>2139</v>
      </c>
      <c r="AU370" s="174" t="s">
        <v>248</v>
      </c>
      <c r="AV370" s="174" t="s">
        <v>248</v>
      </c>
      <c r="AW370" s="174" t="s">
        <v>248</v>
      </c>
    </row>
    <row r="371" spans="5:49" ht="13.35" customHeight="1" x14ac:dyDescent="0.2">
      <c r="E371" s="221" t="s">
        <v>3375</v>
      </c>
      <c r="F371" s="174">
        <v>18</v>
      </c>
      <c r="G371" s="174" t="s">
        <v>206</v>
      </c>
      <c r="H371" s="174" t="s">
        <v>3376</v>
      </c>
      <c r="I371" s="174" t="s">
        <v>3377</v>
      </c>
      <c r="J371" s="174" t="s">
        <v>3378</v>
      </c>
      <c r="K371" s="174" t="s">
        <v>3379</v>
      </c>
      <c r="L371" s="174" t="s">
        <v>3380</v>
      </c>
      <c r="M371" s="174" t="s">
        <v>3381</v>
      </c>
      <c r="Y371" s="174" t="s">
        <v>2292</v>
      </c>
      <c r="Z371" s="174" t="s">
        <v>2828</v>
      </c>
      <c r="AA371" s="174" t="s">
        <v>2160</v>
      </c>
      <c r="AB371" s="174" t="s">
        <v>2259</v>
      </c>
      <c r="AC371" s="174" t="s">
        <v>3382</v>
      </c>
      <c r="AD371" s="174" t="s">
        <v>2202</v>
      </c>
      <c r="AE371" s="174" t="s">
        <v>2790</v>
      </c>
      <c r="AF371" s="174" t="s">
        <v>2165</v>
      </c>
      <c r="AG371" s="174" t="s">
        <v>3383</v>
      </c>
      <c r="AH371" s="174" t="s">
        <v>2139</v>
      </c>
      <c r="AI371" s="174" t="s">
        <v>2115</v>
      </c>
      <c r="AJ371" s="174" t="s">
        <v>2047</v>
      </c>
      <c r="AU371" s="174" t="s">
        <v>248</v>
      </c>
      <c r="AV371" s="174" t="s">
        <v>248</v>
      </c>
      <c r="AW371" s="174" t="s">
        <v>248</v>
      </c>
    </row>
    <row r="372" spans="5:49" ht="13.35" customHeight="1" x14ac:dyDescent="0.2">
      <c r="E372" s="221" t="s">
        <v>3384</v>
      </c>
      <c r="F372" s="174">
        <v>31</v>
      </c>
      <c r="G372" s="174" t="s">
        <v>206</v>
      </c>
      <c r="H372" s="174" t="s">
        <v>3385</v>
      </c>
      <c r="I372" s="174" t="s">
        <v>3386</v>
      </c>
      <c r="J372" s="174" t="s">
        <v>3387</v>
      </c>
      <c r="K372" s="174" t="s">
        <v>3388</v>
      </c>
      <c r="L372" s="174" t="s">
        <v>3329</v>
      </c>
      <c r="M372" s="174" t="s">
        <v>3389</v>
      </c>
      <c r="Y372" s="174" t="s">
        <v>2162</v>
      </c>
      <c r="Z372" s="174" t="s">
        <v>3390</v>
      </c>
      <c r="AA372" s="174" t="s">
        <v>2258</v>
      </c>
      <c r="AB372" s="174" t="s">
        <v>3391</v>
      </c>
      <c r="AC372" s="174" t="s">
        <v>2115</v>
      </c>
      <c r="AD372" s="174" t="s">
        <v>3392</v>
      </c>
      <c r="AE372" s="174" t="s">
        <v>3393</v>
      </c>
      <c r="AF372" s="174" t="s">
        <v>2387</v>
      </c>
      <c r="AG372" s="174" t="s">
        <v>2139</v>
      </c>
      <c r="AH372" s="174" t="s">
        <v>2202</v>
      </c>
      <c r="AI372" s="174" t="s">
        <v>3327</v>
      </c>
      <c r="AU372" s="174" t="s">
        <v>248</v>
      </c>
      <c r="AV372" s="174" t="s">
        <v>248</v>
      </c>
      <c r="AW372" s="174" t="s">
        <v>248</v>
      </c>
    </row>
    <row r="373" spans="5:49" ht="13.35" customHeight="1" x14ac:dyDescent="0.2">
      <c r="E373" s="221" t="s">
        <v>3394</v>
      </c>
      <c r="F373" s="174">
        <v>28</v>
      </c>
      <c r="G373" s="174" t="s">
        <v>2261</v>
      </c>
      <c r="H373" s="174" t="s">
        <v>3395</v>
      </c>
      <c r="I373" s="174" t="s">
        <v>3396</v>
      </c>
      <c r="J373" s="174" t="s">
        <v>3397</v>
      </c>
      <c r="K373" s="174" t="s">
        <v>3398</v>
      </c>
      <c r="L373" s="174" t="s">
        <v>3399</v>
      </c>
      <c r="M373" s="174" t="s">
        <v>3400</v>
      </c>
      <c r="Y373" s="174" t="s">
        <v>2231</v>
      </c>
      <c r="Z373" s="174" t="s">
        <v>3382</v>
      </c>
      <c r="AA373" s="174" t="s">
        <v>2139</v>
      </c>
      <c r="AB373" s="174" t="s">
        <v>2287</v>
      </c>
      <c r="AC373" s="174" t="s">
        <v>2456</v>
      </c>
      <c r="AD373" s="174" t="s">
        <v>2179</v>
      </c>
      <c r="AE373" s="174" t="s">
        <v>2743</v>
      </c>
      <c r="AF373" s="174" t="s">
        <v>2160</v>
      </c>
      <c r="AG373" s="174" t="s">
        <v>2454</v>
      </c>
      <c r="AH373" s="174" t="s">
        <v>2455</v>
      </c>
      <c r="AI373" s="174" t="s">
        <v>2115</v>
      </c>
      <c r="AJ373" s="174" t="s">
        <v>3401</v>
      </c>
      <c r="AK373" s="174" t="s">
        <v>3392</v>
      </c>
      <c r="AU373" s="174" t="s">
        <v>248</v>
      </c>
      <c r="AV373" s="174" t="s">
        <v>248</v>
      </c>
      <c r="AW373" s="174" t="s">
        <v>248</v>
      </c>
    </row>
    <row r="374" spans="5:49" ht="13.35" customHeight="1" x14ac:dyDescent="0.2">
      <c r="E374" s="221" t="s">
        <v>3402</v>
      </c>
      <c r="F374" s="174">
        <v>32</v>
      </c>
      <c r="G374" s="174" t="s">
        <v>206</v>
      </c>
      <c r="H374" s="174" t="s">
        <v>3403</v>
      </c>
      <c r="I374" s="174" t="s">
        <v>3404</v>
      </c>
      <c r="J374" s="174" t="s">
        <v>3405</v>
      </c>
      <c r="K374" s="174" t="s">
        <v>3403</v>
      </c>
      <c r="L374" s="174" t="s">
        <v>3406</v>
      </c>
      <c r="M374" s="174" t="s">
        <v>3407</v>
      </c>
      <c r="Y374" s="174" t="s">
        <v>3408</v>
      </c>
      <c r="Z374" s="174" t="s">
        <v>2691</v>
      </c>
      <c r="AA374" s="174" t="s">
        <v>2139</v>
      </c>
      <c r="AB374" s="174" t="s">
        <v>2701</v>
      </c>
      <c r="AC374" s="174" t="s">
        <v>2139</v>
      </c>
      <c r="AD374" s="174" t="s">
        <v>3409</v>
      </c>
      <c r="AE374" s="174" t="s">
        <v>2139</v>
      </c>
      <c r="AF374" s="174" t="s">
        <v>2398</v>
      </c>
      <c r="AG374" s="174" t="s">
        <v>2139</v>
      </c>
      <c r="AH374" s="174" t="s">
        <v>2187</v>
      </c>
      <c r="AI374" s="174" t="s">
        <v>2139</v>
      </c>
      <c r="AJ374" s="174" t="s">
        <v>2287</v>
      </c>
      <c r="AK374" s="174" t="s">
        <v>3410</v>
      </c>
      <c r="AU374" s="174" t="s">
        <v>248</v>
      </c>
      <c r="AV374" s="174" t="s">
        <v>248</v>
      </c>
      <c r="AW374" s="174" t="s">
        <v>225</v>
      </c>
    </row>
    <row r="375" spans="5:49" ht="13.35" customHeight="1" x14ac:dyDescent="0.2">
      <c r="E375" s="221" t="s">
        <v>3411</v>
      </c>
      <c r="F375" s="174">
        <v>9</v>
      </c>
      <c r="G375" s="174" t="s">
        <v>206</v>
      </c>
      <c r="H375" s="174" t="s">
        <v>3412</v>
      </c>
      <c r="I375" s="174" t="s">
        <v>3413</v>
      </c>
      <c r="J375" s="174" t="s">
        <v>3414</v>
      </c>
      <c r="K375" s="174" t="s">
        <v>3415</v>
      </c>
      <c r="L375" s="174" t="s">
        <v>3416</v>
      </c>
      <c r="M375" s="174" t="s">
        <v>3417</v>
      </c>
      <c r="N375" s="174" t="s">
        <v>3418</v>
      </c>
      <c r="Y375" s="174" t="s">
        <v>2179</v>
      </c>
      <c r="Z375" s="174" t="s">
        <v>2034</v>
      </c>
      <c r="AA375" s="174" t="s">
        <v>2231</v>
      </c>
      <c r="AB375" s="174" t="s">
        <v>3317</v>
      </c>
      <c r="AC375" s="174" t="s">
        <v>3419</v>
      </c>
      <c r="AD375" s="174" t="s">
        <v>2113</v>
      </c>
      <c r="AE375" s="174" t="s">
        <v>2028</v>
      </c>
      <c r="AF375" s="174" t="s">
        <v>2939</v>
      </c>
      <c r="AG375" s="174" t="s">
        <v>3420</v>
      </c>
      <c r="AH375" s="174" t="s">
        <v>2115</v>
      </c>
      <c r="AI375" s="174" t="s">
        <v>3421</v>
      </c>
      <c r="AU375" s="174" t="s">
        <v>248</v>
      </c>
      <c r="AV375" s="174" t="s">
        <v>248</v>
      </c>
      <c r="AW375" s="174" t="s">
        <v>233</v>
      </c>
    </row>
    <row r="376" spans="5:49" ht="13.35" customHeight="1" x14ac:dyDescent="0.2">
      <c r="E376" s="221" t="s">
        <v>3422</v>
      </c>
      <c r="F376" s="174">
        <v>88</v>
      </c>
      <c r="G376" s="174" t="s">
        <v>2261</v>
      </c>
      <c r="H376" s="174" t="s">
        <v>3423</v>
      </c>
      <c r="I376" s="174" t="s">
        <v>3330</v>
      </c>
      <c r="J376" s="174" t="s">
        <v>2264</v>
      </c>
      <c r="K376" s="174" t="s">
        <v>3424</v>
      </c>
      <c r="L376" s="174" t="s">
        <v>3425</v>
      </c>
      <c r="M376" s="174" t="s">
        <v>3426</v>
      </c>
      <c r="N376" s="174" t="s">
        <v>2230</v>
      </c>
      <c r="Y376" s="174" t="s">
        <v>2939</v>
      </c>
      <c r="Z376" s="174" t="s">
        <v>2198</v>
      </c>
      <c r="AA376" s="174" t="s">
        <v>3427</v>
      </c>
      <c r="AB376" s="174" t="s">
        <v>2231</v>
      </c>
      <c r="AC376" s="174" t="s">
        <v>2273</v>
      </c>
      <c r="AD376" s="174" t="s">
        <v>2826</v>
      </c>
      <c r="AE376" s="174" t="s">
        <v>2162</v>
      </c>
      <c r="AF376" s="174" t="s">
        <v>2386</v>
      </c>
      <c r="AG376" s="174" t="s">
        <v>2160</v>
      </c>
      <c r="AH376" s="174" t="s">
        <v>2387</v>
      </c>
      <c r="AI376" s="174" t="s">
        <v>3428</v>
      </c>
      <c r="AJ376" s="174" t="s">
        <v>2292</v>
      </c>
      <c r="AK376" s="174" t="s">
        <v>2828</v>
      </c>
      <c r="AU376" s="174" t="s">
        <v>248</v>
      </c>
      <c r="AV376" s="174" t="s">
        <v>248</v>
      </c>
      <c r="AW376" s="174" t="s">
        <v>231</v>
      </c>
    </row>
    <row r="377" spans="5:49" ht="13.35" customHeight="1" x14ac:dyDescent="0.2">
      <c r="E377" s="221" t="s">
        <v>3429</v>
      </c>
      <c r="F377" s="174">
        <v>26</v>
      </c>
      <c r="G377" s="174" t="s">
        <v>206</v>
      </c>
      <c r="H377" s="174" t="s">
        <v>3430</v>
      </c>
      <c r="I377" s="174" t="s">
        <v>3431</v>
      </c>
      <c r="J377" s="174" t="s">
        <v>3432</v>
      </c>
      <c r="K377" s="174" t="s">
        <v>3433</v>
      </c>
      <c r="L377" s="174" t="s">
        <v>3434</v>
      </c>
      <c r="M377" s="174" t="s">
        <v>3435</v>
      </c>
      <c r="Y377" s="174" t="s">
        <v>2135</v>
      </c>
      <c r="Z377" s="174" t="s">
        <v>3436</v>
      </c>
      <c r="AA377" s="174" t="s">
        <v>2292</v>
      </c>
      <c r="AB377" s="174" t="s">
        <v>3437</v>
      </c>
      <c r="AC377" s="174" t="s">
        <v>2246</v>
      </c>
      <c r="AD377" s="174" t="s">
        <v>2790</v>
      </c>
      <c r="AE377" s="174" t="s">
        <v>3438</v>
      </c>
      <c r="AF377" s="174" t="s">
        <v>3327</v>
      </c>
      <c r="AG377" s="174" t="s">
        <v>2162</v>
      </c>
      <c r="AH377" s="174" t="s">
        <v>3439</v>
      </c>
      <c r="AI377" s="174" t="s">
        <v>3440</v>
      </c>
      <c r="AU377" s="174" t="s">
        <v>248</v>
      </c>
      <c r="AV377" s="174" t="s">
        <v>248</v>
      </c>
      <c r="AW377" s="174" t="s">
        <v>248</v>
      </c>
    </row>
    <row r="378" spans="5:49" ht="13.35" customHeight="1" x14ac:dyDescent="0.2">
      <c r="E378" s="221" t="s">
        <v>3441</v>
      </c>
      <c r="F378" s="174">
        <v>105</v>
      </c>
      <c r="G378" s="174" t="s">
        <v>2261</v>
      </c>
      <c r="H378" s="174" t="s">
        <v>3442</v>
      </c>
      <c r="I378" s="174" t="s">
        <v>3443</v>
      </c>
      <c r="J378" s="174" t="s">
        <v>3444</v>
      </c>
      <c r="K378" s="174" t="s">
        <v>3445</v>
      </c>
      <c r="L378" s="174" t="s">
        <v>2431</v>
      </c>
      <c r="M378" s="174" t="s">
        <v>3446</v>
      </c>
      <c r="Y378" s="174" t="s">
        <v>2224</v>
      </c>
      <c r="Z378" s="174" t="s">
        <v>3447</v>
      </c>
      <c r="AA378" s="174" t="s">
        <v>2139</v>
      </c>
      <c r="AB378" s="174" t="s">
        <v>2354</v>
      </c>
      <c r="AC378" s="174" t="s">
        <v>2139</v>
      </c>
      <c r="AD378" s="174" t="s">
        <v>2115</v>
      </c>
      <c r="AE378" s="174" t="s">
        <v>2513</v>
      </c>
      <c r="AF378" s="174" t="s">
        <v>2292</v>
      </c>
      <c r="AG378" s="174" t="s">
        <v>3123</v>
      </c>
      <c r="AH378" s="174" t="s">
        <v>2300</v>
      </c>
      <c r="AI378" s="174" t="s">
        <v>2026</v>
      </c>
      <c r="AJ378" s="174" t="s">
        <v>3353</v>
      </c>
      <c r="AK378" s="174" t="s">
        <v>2024</v>
      </c>
      <c r="AL378" s="174" t="s">
        <v>2067</v>
      </c>
      <c r="AM378" s="174" t="s">
        <v>3448</v>
      </c>
      <c r="AN378" s="174" t="s">
        <v>3297</v>
      </c>
      <c r="AO378" s="174" t="s">
        <v>2162</v>
      </c>
      <c r="AP378" s="174" t="s">
        <v>3212</v>
      </c>
      <c r="AU378" s="174" t="s">
        <v>248</v>
      </c>
      <c r="AV378" s="174" t="s">
        <v>248</v>
      </c>
      <c r="AW378" s="174" t="s">
        <v>248</v>
      </c>
    </row>
    <row r="379" spans="5:49" ht="13.35" customHeight="1" x14ac:dyDescent="0.2">
      <c r="E379" s="221" t="s">
        <v>3449</v>
      </c>
      <c r="F379" s="174">
        <v>45</v>
      </c>
      <c r="G379" s="174" t="s">
        <v>206</v>
      </c>
      <c r="H379" s="174" t="s">
        <v>3450</v>
      </c>
      <c r="I379" s="174" t="s">
        <v>3115</v>
      </c>
      <c r="J379" s="174" t="s">
        <v>3451</v>
      </c>
      <c r="K379" s="174" t="s">
        <v>3452</v>
      </c>
      <c r="L379" s="174" t="s">
        <v>3453</v>
      </c>
      <c r="M379" s="174" t="s">
        <v>3454</v>
      </c>
      <c r="Y379" s="174" t="s">
        <v>2492</v>
      </c>
      <c r="Z379" s="174" t="s">
        <v>3455</v>
      </c>
      <c r="AA379" s="174" t="s">
        <v>2454</v>
      </c>
      <c r="AB379" s="174" t="s">
        <v>2455</v>
      </c>
      <c r="AC379" s="174" t="s">
        <v>2568</v>
      </c>
      <c r="AD379" s="174" t="s">
        <v>3456</v>
      </c>
      <c r="AE379" s="174" t="s">
        <v>2115</v>
      </c>
      <c r="AF379" s="174" t="s">
        <v>3457</v>
      </c>
      <c r="AG379" s="174" t="s">
        <v>3458</v>
      </c>
      <c r="AH379" s="174" t="s">
        <v>3459</v>
      </c>
      <c r="AI379" s="174" t="s">
        <v>3460</v>
      </c>
      <c r="AU379" s="174" t="s">
        <v>248</v>
      </c>
      <c r="AV379" s="174" t="s">
        <v>248</v>
      </c>
      <c r="AW379" s="174" t="s">
        <v>223</v>
      </c>
    </row>
    <row r="380" spans="5:49" ht="13.35" customHeight="1" x14ac:dyDescent="0.2">
      <c r="E380" s="221" t="s">
        <v>3461</v>
      </c>
      <c r="F380" s="174">
        <v>30</v>
      </c>
      <c r="G380" s="174" t="s">
        <v>206</v>
      </c>
      <c r="H380" s="174" t="s">
        <v>2279</v>
      </c>
      <c r="I380" s="174" t="s">
        <v>2334</v>
      </c>
      <c r="J380" s="174" t="s">
        <v>3462</v>
      </c>
      <c r="K380" s="174" t="s">
        <v>3463</v>
      </c>
      <c r="L380" s="174" t="s">
        <v>3464</v>
      </c>
      <c r="M380" s="174" t="s">
        <v>3465</v>
      </c>
      <c r="Y380" s="174" t="s">
        <v>2097</v>
      </c>
      <c r="Z380" s="174" t="s">
        <v>3466</v>
      </c>
      <c r="AA380" s="174" t="s">
        <v>2676</v>
      </c>
      <c r="AB380" s="174" t="s">
        <v>2287</v>
      </c>
      <c r="AC380" s="174" t="s">
        <v>2289</v>
      </c>
      <c r="AD380" s="174" t="s">
        <v>2288</v>
      </c>
      <c r="AE380" s="174" t="s">
        <v>2292</v>
      </c>
      <c r="AF380" s="174" t="s">
        <v>711</v>
      </c>
      <c r="AG380" s="174" t="s">
        <v>2439</v>
      </c>
      <c r="AU380" s="174" t="s">
        <v>248</v>
      </c>
      <c r="AV380" s="174" t="s">
        <v>248</v>
      </c>
      <c r="AW380" s="174" t="s">
        <v>248</v>
      </c>
    </row>
    <row r="381" spans="5:49" ht="13.35" customHeight="1" x14ac:dyDescent="0.2">
      <c r="E381" s="221" t="s">
        <v>3467</v>
      </c>
      <c r="F381" s="174">
        <v>4</v>
      </c>
      <c r="G381" s="174" t="s">
        <v>206</v>
      </c>
      <c r="H381" s="174" t="s">
        <v>3468</v>
      </c>
      <c r="Y381" s="174" t="s">
        <v>3469</v>
      </c>
      <c r="Z381" s="174" t="s">
        <v>3470</v>
      </c>
      <c r="AA381" s="174" t="s">
        <v>3471</v>
      </c>
      <c r="AB381" s="174" t="s">
        <v>3472</v>
      </c>
      <c r="AC381" s="174" t="s">
        <v>2611</v>
      </c>
      <c r="AD381" s="174" t="s">
        <v>3473</v>
      </c>
      <c r="AE381" s="174" t="s">
        <v>2136</v>
      </c>
      <c r="AF381" s="174" t="s">
        <v>747</v>
      </c>
      <c r="AG381" s="174" t="s">
        <v>3474</v>
      </c>
      <c r="AH381" s="174" t="s">
        <v>3475</v>
      </c>
      <c r="AU381" s="174" t="s">
        <v>248</v>
      </c>
      <c r="AV381" s="174" t="s">
        <v>248</v>
      </c>
      <c r="AW381" s="174" t="s">
        <v>248</v>
      </c>
    </row>
    <row r="382" spans="5:49" ht="13.35" customHeight="1" x14ac:dyDescent="0.2">
      <c r="E382" s="221" t="s">
        <v>1959</v>
      </c>
      <c r="F382" s="174">
        <v>27</v>
      </c>
      <c r="G382" s="174" t="s">
        <v>206</v>
      </c>
      <c r="H382" s="174" t="s">
        <v>3091</v>
      </c>
      <c r="I382" s="174" t="s">
        <v>3476</v>
      </c>
      <c r="J382" s="174" t="s">
        <v>3093</v>
      </c>
      <c r="K382" s="174" t="s">
        <v>3094</v>
      </c>
      <c r="L382" s="174" t="s">
        <v>3095</v>
      </c>
      <c r="M382" s="174" t="s">
        <v>3096</v>
      </c>
      <c r="N382" s="174" t="s">
        <v>3477</v>
      </c>
      <c r="O382" s="174" t="s">
        <v>3097</v>
      </c>
      <c r="Y382" s="174" t="s">
        <v>2165</v>
      </c>
      <c r="Z382" s="174" t="s">
        <v>2119</v>
      </c>
      <c r="AA382" s="174" t="s">
        <v>2344</v>
      </c>
      <c r="AB382" s="174" t="s">
        <v>2467</v>
      </c>
      <c r="AC382" s="174" t="s">
        <v>3101</v>
      </c>
      <c r="AD382" s="174" t="s">
        <v>2135</v>
      </c>
      <c r="AE382" s="174" t="s">
        <v>3478</v>
      </c>
      <c r="AF382" s="174" t="s">
        <v>2287</v>
      </c>
      <c r="AG382" s="174" t="s">
        <v>2288</v>
      </c>
      <c r="AH382" s="174" t="s">
        <v>3135</v>
      </c>
      <c r="AI382" s="174" t="s">
        <v>3479</v>
      </c>
      <c r="AU382" s="174" t="s">
        <v>248</v>
      </c>
      <c r="AV382" s="174" t="s">
        <v>248</v>
      </c>
      <c r="AW382" s="174" t="s">
        <v>248</v>
      </c>
    </row>
    <row r="383" spans="5:49" ht="13.35" customHeight="1" x14ac:dyDescent="0.2">
      <c r="E383" s="221" t="s">
        <v>398</v>
      </c>
      <c r="F383" s="174">
        <v>73</v>
      </c>
      <c r="G383" s="174" t="s">
        <v>206</v>
      </c>
      <c r="H383" s="174" t="s">
        <v>2014</v>
      </c>
      <c r="I383" s="174" t="s">
        <v>3243</v>
      </c>
      <c r="J383" s="174" t="s">
        <v>3480</v>
      </c>
      <c r="Y383" s="174" t="s">
        <v>3481</v>
      </c>
      <c r="Z383" s="174" t="s">
        <v>2754</v>
      </c>
      <c r="AA383" s="174" t="s">
        <v>3482</v>
      </c>
      <c r="AB383" s="174" t="s">
        <v>2532</v>
      </c>
      <c r="AC383" s="174" t="s">
        <v>3483</v>
      </c>
      <c r="AD383" s="174" t="s">
        <v>2199</v>
      </c>
      <c r="AE383" s="174" t="s">
        <v>2753</v>
      </c>
      <c r="AF383" s="174" t="s">
        <v>2236</v>
      </c>
      <c r="AG383" s="174" t="s">
        <v>2139</v>
      </c>
      <c r="AU383" s="174" t="s">
        <v>248</v>
      </c>
      <c r="AV383" s="174" t="s">
        <v>248</v>
      </c>
      <c r="AW383" s="174" t="s">
        <v>235</v>
      </c>
    </row>
    <row r="384" spans="5:49" ht="13.35" customHeight="1" x14ac:dyDescent="0.2">
      <c r="E384" s="206"/>
    </row>
    <row r="385" spans="5:5" ht="13.35" customHeight="1" x14ac:dyDescent="0.2">
      <c r="E385" s="206"/>
    </row>
    <row r="386" spans="5:5" ht="13.35" customHeight="1" x14ac:dyDescent="0.2">
      <c r="E386" s="206"/>
    </row>
    <row r="387" spans="5:5" ht="13.35" customHeight="1" x14ac:dyDescent="0.2">
      <c r="E387" s="206"/>
    </row>
    <row r="388" spans="5:5" ht="13.35" customHeight="1" x14ac:dyDescent="0.2">
      <c r="E388" s="206"/>
    </row>
    <row r="389" spans="5:5" ht="13.35" customHeight="1" x14ac:dyDescent="0.2">
      <c r="E389" s="206"/>
    </row>
    <row r="390" spans="5:5" ht="13.35" customHeight="1" x14ac:dyDescent="0.2">
      <c r="E390" s="206"/>
    </row>
    <row r="391" spans="5:5" ht="13.35" customHeight="1" x14ac:dyDescent="0.2">
      <c r="E391" s="206"/>
    </row>
    <row r="392" spans="5:5" ht="13.35" customHeight="1" x14ac:dyDescent="0.2">
      <c r="E392" s="206"/>
    </row>
    <row r="393" spans="5:5" ht="13.35" customHeight="1" x14ac:dyDescent="0.2">
      <c r="E393" s="206"/>
    </row>
    <row r="394" spans="5:5" ht="13.35" customHeight="1" x14ac:dyDescent="0.2">
      <c r="E394" s="206"/>
    </row>
    <row r="395" spans="5:5" ht="13.35" customHeight="1" x14ac:dyDescent="0.2">
      <c r="E395" s="206"/>
    </row>
    <row r="396" spans="5:5" ht="13.35" customHeight="1" x14ac:dyDescent="0.2">
      <c r="E396" s="206"/>
    </row>
    <row r="412" spans="5:110" ht="13.35" customHeight="1" x14ac:dyDescent="0.2">
      <c r="E412" s="174" t="s">
        <v>781</v>
      </c>
      <c r="F412" s="174" t="s">
        <v>782</v>
      </c>
      <c r="G412" s="174" t="s">
        <v>783</v>
      </c>
      <c r="H412" s="174" t="s">
        <v>784</v>
      </c>
      <c r="I412" s="174" t="s">
        <v>785</v>
      </c>
      <c r="J412" s="174" t="s">
        <v>786</v>
      </c>
      <c r="K412" s="174" t="s">
        <v>787</v>
      </c>
      <c r="L412" s="174" t="s">
        <v>788</v>
      </c>
      <c r="M412" s="174" t="s">
        <v>789</v>
      </c>
      <c r="N412" s="174" t="s">
        <v>790</v>
      </c>
      <c r="O412" s="174" t="s">
        <v>791</v>
      </c>
      <c r="P412" s="174" t="s">
        <v>792</v>
      </c>
      <c r="Q412" s="174" t="s">
        <v>793</v>
      </c>
      <c r="R412" s="174" t="s">
        <v>794</v>
      </c>
      <c r="S412" s="174" t="s">
        <v>182</v>
      </c>
      <c r="T412" s="174" t="s">
        <v>795</v>
      </c>
      <c r="U412" s="174" t="s">
        <v>796</v>
      </c>
      <c r="V412" s="174" t="s">
        <v>797</v>
      </c>
      <c r="W412" s="174" t="s">
        <v>798</v>
      </c>
      <c r="X412" s="174" t="s">
        <v>799</v>
      </c>
      <c r="Y412" s="174" t="s">
        <v>800</v>
      </c>
      <c r="AA412" s="174" t="s">
        <v>801</v>
      </c>
      <c r="AB412" s="174" t="s">
        <v>802</v>
      </c>
      <c r="AC412" s="174" t="s">
        <v>803</v>
      </c>
      <c r="AD412" s="174" t="s">
        <v>804</v>
      </c>
      <c r="AF412" s="174" t="s">
        <v>805</v>
      </c>
      <c r="AG412" s="174" t="s">
        <v>806</v>
      </c>
      <c r="AH412" s="174" t="s">
        <v>807</v>
      </c>
      <c r="AJ412" s="174" t="s">
        <v>808</v>
      </c>
      <c r="AK412" s="174" t="s">
        <v>809</v>
      </c>
      <c r="AL412" s="174" t="s">
        <v>810</v>
      </c>
      <c r="AM412" s="174" t="s">
        <v>811</v>
      </c>
      <c r="AO412" s="174" t="s">
        <v>812</v>
      </c>
      <c r="AP412" s="174" t="s">
        <v>813</v>
      </c>
      <c r="AQ412" s="174" t="s">
        <v>814</v>
      </c>
      <c r="AS412" s="174" t="s">
        <v>815</v>
      </c>
      <c r="AT412" s="174" t="s">
        <v>816</v>
      </c>
      <c r="AU412" s="174" t="s">
        <v>3484</v>
      </c>
      <c r="AV412" s="174" t="s">
        <v>818</v>
      </c>
      <c r="AW412" s="174" t="s">
        <v>819</v>
      </c>
      <c r="AX412" s="174" t="str">
        <f>AX2</f>
        <v>Priest of Community</v>
      </c>
      <c r="AY412" s="174" t="s">
        <v>821</v>
      </c>
      <c r="AZ412" s="174" t="str">
        <f t="shared" ref="AZ412:CQ412" si="35">AZ2</f>
        <v>Priest of Crafts</v>
      </c>
      <c r="BA412" s="174" t="str">
        <f t="shared" si="35"/>
        <v>Priest of Culture</v>
      </c>
      <c r="BB412" s="174" t="str">
        <f t="shared" si="35"/>
        <v>Priest of Darkness, Night</v>
      </c>
      <c r="BC412" s="174" t="str">
        <f t="shared" si="35"/>
        <v>Priest of Dawn</v>
      </c>
      <c r="BD412" s="174" t="str">
        <f t="shared" si="35"/>
        <v>Priest of Death</v>
      </c>
      <c r="BE412" s="174" t="str">
        <f t="shared" si="35"/>
        <v>Priest of Disease</v>
      </c>
      <c r="BF412" s="174" t="str">
        <f t="shared" si="35"/>
        <v>Priest of Earth</v>
      </c>
      <c r="BG412" s="174" t="str">
        <f t="shared" si="35"/>
        <v>Priest of Fate, Destiny</v>
      </c>
      <c r="BH412" s="174" t="str">
        <f t="shared" si="35"/>
        <v>Priest of Fertility</v>
      </c>
      <c r="BI412" s="174" t="str">
        <f t="shared" si="35"/>
        <v>Priest of Fire</v>
      </c>
      <c r="BJ412" s="174" t="str">
        <f t="shared" si="35"/>
        <v>Priest of Fortune, Luck</v>
      </c>
      <c r="BK412" s="174" t="str">
        <f t="shared" si="35"/>
        <v>Priest of Guardianship</v>
      </c>
      <c r="BL412" s="174" t="str">
        <f t="shared" si="35"/>
        <v>Priest of Healing</v>
      </c>
      <c r="BM412" s="174" t="str">
        <f t="shared" si="35"/>
        <v>Priest of Hunting</v>
      </c>
      <c r="BN412" s="174" t="str">
        <f t="shared" si="35"/>
        <v>Priest of Justice, Revenge</v>
      </c>
      <c r="BO412" s="174" t="str">
        <f t="shared" si="35"/>
        <v>Priest of Light</v>
      </c>
      <c r="BP412" s="174" t="str">
        <f t="shared" si="35"/>
        <v>Priest of Lightning</v>
      </c>
      <c r="BQ412" s="174" t="str">
        <f t="shared" si="35"/>
        <v>Priest of Literature</v>
      </c>
      <c r="BR412" s="174" t="str">
        <f t="shared" si="35"/>
        <v>Priest of Love</v>
      </c>
      <c r="BS412" s="174" t="str">
        <f t="shared" si="35"/>
        <v>Priest of Magic</v>
      </c>
      <c r="BT412" s="174" t="str">
        <f t="shared" si="35"/>
        <v>Priest of Marriage</v>
      </c>
      <c r="BU412" s="174" t="str">
        <f t="shared" si="35"/>
        <v>Priest of Messengers</v>
      </c>
      <c r="BV412" s="174" t="str">
        <f t="shared" si="35"/>
        <v>Priest of Metalwork</v>
      </c>
      <c r="BW412" s="174" t="str">
        <f t="shared" si="35"/>
        <v>Priest of Mischief/Trickery</v>
      </c>
      <c r="BX412" s="174" t="str">
        <f t="shared" si="35"/>
        <v>Priest of Moon</v>
      </c>
      <c r="BY412" s="174" t="str">
        <f t="shared" si="35"/>
        <v>Priest of Music, Dance</v>
      </c>
      <c r="BZ412" s="174" t="str">
        <f t="shared" si="35"/>
        <v>Priest of Nature</v>
      </c>
      <c r="CA412" s="174" t="str">
        <f t="shared" si="35"/>
        <v>Priest of Ocean, Rivers</v>
      </c>
      <c r="CB412" s="174" t="str">
        <f t="shared" si="35"/>
        <v>Priest of Oracles</v>
      </c>
      <c r="CC412" s="174" t="str">
        <f t="shared" si="35"/>
        <v>Priest of Peace</v>
      </c>
      <c r="CD412" s="174" t="str">
        <f t="shared" si="35"/>
        <v>Priest of Prosperity</v>
      </c>
      <c r="CE412" s="174" t="str">
        <f t="shared" si="35"/>
        <v>Priest of Redemption</v>
      </c>
      <c r="CF412" s="174" t="str">
        <f t="shared" si="35"/>
        <v>Priest of Rulership</v>
      </c>
      <c r="CG412" s="174" t="str">
        <f t="shared" si="35"/>
        <v>Priest of Seasons</v>
      </c>
      <c r="CH412" s="174" t="str">
        <f t="shared" si="35"/>
        <v>Priest of Sky, Weather</v>
      </c>
      <c r="CI412" s="174" t="str">
        <f t="shared" si="35"/>
        <v>Priest of Strength</v>
      </c>
      <c r="CJ412" s="174" t="str">
        <f t="shared" si="35"/>
        <v>Priest of Sun</v>
      </c>
      <c r="CK412" s="174" t="str">
        <f t="shared" si="35"/>
        <v>Priest of Thunder</v>
      </c>
      <c r="CL412" s="174" t="str">
        <f t="shared" si="35"/>
        <v>Priest of Time</v>
      </c>
      <c r="CN412" s="174" t="str">
        <f t="shared" si="35"/>
        <v>Priest of Vegetation</v>
      </c>
      <c r="CO412" s="174" t="str">
        <f t="shared" si="35"/>
        <v>Priest of War</v>
      </c>
      <c r="CP412" s="174" t="str">
        <f t="shared" si="35"/>
        <v>Priest of Wind</v>
      </c>
      <c r="CQ412" s="174" t="str">
        <f t="shared" si="35"/>
        <v>Priest of Wisdom</v>
      </c>
      <c r="CS412" s="174" t="str">
        <f>CS163</f>
        <v>Barbarian (FRP)</v>
      </c>
      <c r="CT412" s="174" t="str">
        <f>CT163</f>
        <v>Outrider (FRP)</v>
      </c>
      <c r="CU412" s="174" t="str">
        <f>CU163</f>
        <v>Sage (FRP)</v>
      </c>
      <c r="CV412" s="174" t="str">
        <f>CV163</f>
        <v>Swashbuckler (FRP)</v>
      </c>
      <c r="CX412" s="174" t="s">
        <v>870</v>
      </c>
      <c r="CY412" s="174" t="s">
        <v>871</v>
      </c>
      <c r="CZ412" s="174" t="s">
        <v>872</v>
      </c>
      <c r="DA412" s="174" t="s">
        <v>1149</v>
      </c>
      <c r="DB412" s="174" t="s">
        <v>874</v>
      </c>
      <c r="DC412" s="174" t="s">
        <v>875</v>
      </c>
      <c r="DD412" s="174" t="s">
        <v>876</v>
      </c>
      <c r="DE412" s="174" t="s">
        <v>877</v>
      </c>
      <c r="DF412" s="174">
        <v>1</v>
      </c>
    </row>
    <row r="413" spans="5:110" ht="13.35" customHeight="1" x14ac:dyDescent="0.2">
      <c r="E413" s="182" t="s">
        <v>755</v>
      </c>
      <c r="F413" s="190" t="s">
        <v>3485</v>
      </c>
      <c r="G413" s="190" t="s">
        <v>3485</v>
      </c>
      <c r="H413" s="190" t="s">
        <v>3485</v>
      </c>
      <c r="I413" s="190" t="s">
        <v>3485</v>
      </c>
      <c r="J413" s="190" t="s">
        <v>3485</v>
      </c>
      <c r="K413" s="190" t="s">
        <v>1103</v>
      </c>
      <c r="L413" s="190" t="s">
        <v>1103</v>
      </c>
      <c r="M413" s="190" t="s">
        <v>1103</v>
      </c>
      <c r="N413" s="190" t="s">
        <v>1103</v>
      </c>
      <c r="O413" s="190" t="s">
        <v>1103</v>
      </c>
      <c r="P413" s="190" t="s">
        <v>1103</v>
      </c>
      <c r="Q413" s="190" t="s">
        <v>1103</v>
      </c>
      <c r="R413" s="190" t="s">
        <v>1103</v>
      </c>
      <c r="S413" s="190" t="s">
        <v>1103</v>
      </c>
      <c r="T413" s="190" t="s">
        <v>3486</v>
      </c>
      <c r="U413" s="190" t="s">
        <v>3486</v>
      </c>
      <c r="V413" s="190" t="s">
        <v>3486</v>
      </c>
      <c r="W413" s="190" t="s">
        <v>3486</v>
      </c>
      <c r="X413" s="190" t="s">
        <v>3486</v>
      </c>
      <c r="Y413" s="190" t="s">
        <v>3486</v>
      </c>
      <c r="Z413" s="190"/>
      <c r="AA413" s="190" t="s">
        <v>1103</v>
      </c>
      <c r="AB413" s="190" t="s">
        <v>1103</v>
      </c>
      <c r="AC413" s="190" t="s">
        <v>3486</v>
      </c>
      <c r="AD413" s="190" t="s">
        <v>3486</v>
      </c>
      <c r="AE413" s="190"/>
      <c r="AF413" s="190" t="s">
        <v>1103</v>
      </c>
      <c r="AG413" s="190" t="s">
        <v>1103</v>
      </c>
      <c r="AH413" s="190" t="s">
        <v>3486</v>
      </c>
      <c r="AI413" s="190"/>
      <c r="AJ413" s="190" t="s">
        <v>3486</v>
      </c>
      <c r="AK413" s="190" t="s">
        <v>1103</v>
      </c>
      <c r="AL413" s="190" t="s">
        <v>1103</v>
      </c>
      <c r="AM413" s="190" t="s">
        <v>1103</v>
      </c>
      <c r="AN413" s="190"/>
      <c r="AO413" s="190" t="s">
        <v>1103</v>
      </c>
      <c r="AP413" s="190" t="s">
        <v>1103</v>
      </c>
      <c r="AQ413" s="190" t="s">
        <v>3486</v>
      </c>
      <c r="AR413" s="190"/>
      <c r="AS413" s="190" t="s">
        <v>1103</v>
      </c>
      <c r="AT413" s="190" t="s">
        <v>1103</v>
      </c>
      <c r="AU413" s="190" t="s">
        <v>1103</v>
      </c>
      <c r="AV413" s="190" t="s">
        <v>1103</v>
      </c>
      <c r="AW413" s="190" t="s">
        <v>1103</v>
      </c>
      <c r="AX413" s="190" t="s">
        <v>1103</v>
      </c>
      <c r="AY413" s="190" t="s">
        <v>1103</v>
      </c>
      <c r="AZ413" s="190" t="s">
        <v>1103</v>
      </c>
      <c r="BA413" s="190" t="s">
        <v>1103</v>
      </c>
      <c r="BB413" s="190" t="s">
        <v>1103</v>
      </c>
      <c r="BC413" s="190" t="s">
        <v>1103</v>
      </c>
      <c r="BD413" s="190" t="s">
        <v>1103</v>
      </c>
      <c r="BE413" s="190" t="s">
        <v>1103</v>
      </c>
      <c r="BF413" s="190" t="s">
        <v>1103</v>
      </c>
      <c r="BG413" s="190" t="s">
        <v>1103</v>
      </c>
      <c r="BH413" s="190" t="s">
        <v>1103</v>
      </c>
      <c r="BI413" s="190" t="s">
        <v>1103</v>
      </c>
      <c r="BJ413" s="190" t="s">
        <v>1103</v>
      </c>
      <c r="BK413" s="190" t="s">
        <v>1103</v>
      </c>
      <c r="BL413" s="190" t="s">
        <v>1103</v>
      </c>
      <c r="BM413" s="190" t="s">
        <v>1103</v>
      </c>
      <c r="BN413" s="190" t="s">
        <v>1103</v>
      </c>
      <c r="BO413" s="190" t="s">
        <v>1103</v>
      </c>
      <c r="BP413" s="190" t="s">
        <v>1103</v>
      </c>
      <c r="BQ413" s="190" t="s">
        <v>1103</v>
      </c>
      <c r="BR413" s="190" t="s">
        <v>1103</v>
      </c>
      <c r="BS413" s="190" t="s">
        <v>1103</v>
      </c>
      <c r="BT413" s="190" t="s">
        <v>1103</v>
      </c>
      <c r="BU413" s="190" t="s">
        <v>1103</v>
      </c>
      <c r="BV413" s="190" t="s">
        <v>1103</v>
      </c>
      <c r="BW413" s="190" t="s">
        <v>1103</v>
      </c>
      <c r="BX413" s="190" t="s">
        <v>1103</v>
      </c>
      <c r="BY413" s="190" t="s">
        <v>1103</v>
      </c>
      <c r="BZ413" s="190" t="s">
        <v>1103</v>
      </c>
      <c r="CA413" s="190" t="s">
        <v>1103</v>
      </c>
      <c r="CB413" s="190" t="s">
        <v>1103</v>
      </c>
      <c r="CC413" s="190" t="s">
        <v>1103</v>
      </c>
      <c r="CD413" s="190" t="s">
        <v>1103</v>
      </c>
      <c r="CE413" s="190" t="s">
        <v>1103</v>
      </c>
      <c r="CF413" s="190" t="s">
        <v>1103</v>
      </c>
      <c r="CG413" s="190" t="s">
        <v>1103</v>
      </c>
      <c r="CH413" s="190" t="s">
        <v>1103</v>
      </c>
      <c r="CI413" s="190" t="s">
        <v>1103</v>
      </c>
      <c r="CJ413" s="190" t="s">
        <v>1103</v>
      </c>
      <c r="CK413" s="190" t="s">
        <v>1103</v>
      </c>
      <c r="CL413" s="190" t="s">
        <v>1103</v>
      </c>
      <c r="CM413" s="190"/>
      <c r="CN413" s="190" t="s">
        <v>1103</v>
      </c>
      <c r="CO413" s="190" t="s">
        <v>1103</v>
      </c>
      <c r="CP413" s="190" t="s">
        <v>1103</v>
      </c>
      <c r="CQ413" s="190" t="s">
        <v>1103</v>
      </c>
      <c r="CR413" s="190"/>
      <c r="CS413" s="190" t="s">
        <v>3485</v>
      </c>
      <c r="CT413" s="190" t="s">
        <v>3485</v>
      </c>
      <c r="CU413" s="190" t="s">
        <v>3485</v>
      </c>
      <c r="CV413" s="190" t="s">
        <v>3485</v>
      </c>
      <c r="CW413" s="190"/>
      <c r="CX413" s="190" t="s">
        <v>3485</v>
      </c>
      <c r="CY413" s="190" t="s">
        <v>1103</v>
      </c>
      <c r="CZ413" s="190" t="s">
        <v>1103</v>
      </c>
      <c r="DA413" s="190" t="s">
        <v>3485</v>
      </c>
      <c r="DB413" s="190" t="s">
        <v>1103</v>
      </c>
      <c r="DC413" s="190" t="s">
        <v>1103</v>
      </c>
      <c r="DD413" s="190" t="s">
        <v>1103</v>
      </c>
      <c r="DF413" s="174">
        <v>2</v>
      </c>
    </row>
    <row r="414" spans="5:110" ht="13.35" customHeight="1" x14ac:dyDescent="0.2">
      <c r="E414" s="182" t="s">
        <v>3487</v>
      </c>
      <c r="F414" s="190" t="s">
        <v>3488</v>
      </c>
      <c r="G414" s="190" t="s">
        <v>3488</v>
      </c>
      <c r="H414" s="190" t="s">
        <v>3488</v>
      </c>
      <c r="I414" s="190" t="s">
        <v>3488</v>
      </c>
      <c r="J414" s="190" t="s">
        <v>3488</v>
      </c>
      <c r="K414" s="190" t="s">
        <v>1104</v>
      </c>
      <c r="L414" s="190" t="s">
        <v>1104</v>
      </c>
      <c r="M414" s="190" t="s">
        <v>1104</v>
      </c>
      <c r="N414" s="190" t="s">
        <v>1104</v>
      </c>
      <c r="O414" s="190" t="s">
        <v>1104</v>
      </c>
      <c r="P414" s="190" t="s">
        <v>1104</v>
      </c>
      <c r="Q414" s="190" t="s">
        <v>1104</v>
      </c>
      <c r="R414" s="190" t="s">
        <v>1104</v>
      </c>
      <c r="S414" s="190" t="s">
        <v>1104</v>
      </c>
      <c r="T414" s="190" t="s">
        <v>3489</v>
      </c>
      <c r="U414" s="190" t="s">
        <v>3489</v>
      </c>
      <c r="V414" s="190" t="s">
        <v>3489</v>
      </c>
      <c r="W414" s="190" t="s">
        <v>3489</v>
      </c>
      <c r="X414" s="190" t="s">
        <v>3489</v>
      </c>
      <c r="Y414" s="190" t="s">
        <v>3489</v>
      </c>
      <c r="Z414" s="190"/>
      <c r="AA414" s="190" t="s">
        <v>3490</v>
      </c>
      <c r="AB414" s="190" t="s">
        <v>3490</v>
      </c>
      <c r="AC414" s="190" t="s">
        <v>3489</v>
      </c>
      <c r="AD414" s="190" t="s">
        <v>3489</v>
      </c>
      <c r="AE414" s="190"/>
      <c r="AF414" s="190" t="s">
        <v>1104</v>
      </c>
      <c r="AG414" s="190" t="s">
        <v>1104</v>
      </c>
      <c r="AH414" s="190" t="s">
        <v>3489</v>
      </c>
      <c r="AI414" s="190"/>
      <c r="AJ414" s="190" t="s">
        <v>3489</v>
      </c>
      <c r="AK414" s="190" t="s">
        <v>1104</v>
      </c>
      <c r="AL414" s="190" t="s">
        <v>1104</v>
      </c>
      <c r="AM414" s="190" t="s">
        <v>1104</v>
      </c>
      <c r="AN414" s="190"/>
      <c r="AO414" s="190" t="s">
        <v>1104</v>
      </c>
      <c r="AP414" s="190" t="s">
        <v>1104</v>
      </c>
      <c r="AQ414" s="190" t="s">
        <v>3489</v>
      </c>
      <c r="AR414" s="190"/>
      <c r="AS414" s="190" t="s">
        <v>1104</v>
      </c>
      <c r="AT414" s="190" t="s">
        <v>1104</v>
      </c>
      <c r="AU414" s="190" t="s">
        <v>1104</v>
      </c>
      <c r="AV414" s="190" t="s">
        <v>1104</v>
      </c>
      <c r="AW414" s="190" t="s">
        <v>1104</v>
      </c>
      <c r="AX414" s="190" t="s">
        <v>1104</v>
      </c>
      <c r="AY414" s="190" t="s">
        <v>1104</v>
      </c>
      <c r="AZ414" s="190" t="s">
        <v>1104</v>
      </c>
      <c r="BA414" s="190" t="s">
        <v>1104</v>
      </c>
      <c r="BB414" s="190" t="s">
        <v>1104</v>
      </c>
      <c r="BC414" s="190" t="s">
        <v>1104</v>
      </c>
      <c r="BD414" s="190" t="s">
        <v>1104</v>
      </c>
      <c r="BE414" s="190" t="s">
        <v>1104</v>
      </c>
      <c r="BF414" s="190" t="s">
        <v>1104</v>
      </c>
      <c r="BG414" s="190" t="s">
        <v>1104</v>
      </c>
      <c r="BH414" s="190" t="s">
        <v>1104</v>
      </c>
      <c r="BI414" s="190" t="s">
        <v>1104</v>
      </c>
      <c r="BJ414" s="190" t="s">
        <v>1104</v>
      </c>
      <c r="BK414" s="190" t="s">
        <v>1104</v>
      </c>
      <c r="BL414" s="190" t="s">
        <v>1104</v>
      </c>
      <c r="BM414" s="190" t="s">
        <v>1104</v>
      </c>
      <c r="BN414" s="190" t="s">
        <v>1104</v>
      </c>
      <c r="BO414" s="190" t="s">
        <v>1104</v>
      </c>
      <c r="BP414" s="190" t="s">
        <v>1104</v>
      </c>
      <c r="BQ414" s="190" t="s">
        <v>1104</v>
      </c>
      <c r="BR414" s="190" t="s">
        <v>1104</v>
      </c>
      <c r="BS414" s="190" t="s">
        <v>1104</v>
      </c>
      <c r="BT414" s="190" t="s">
        <v>1104</v>
      </c>
      <c r="BU414" s="190" t="s">
        <v>1104</v>
      </c>
      <c r="BV414" s="190" t="s">
        <v>1104</v>
      </c>
      <c r="BW414" s="190" t="s">
        <v>1104</v>
      </c>
      <c r="BX414" s="190" t="s">
        <v>1104</v>
      </c>
      <c r="BY414" s="190" t="s">
        <v>1104</v>
      </c>
      <c r="BZ414" s="190" t="s">
        <v>1104</v>
      </c>
      <c r="CA414" s="190" t="s">
        <v>1104</v>
      </c>
      <c r="CB414" s="190" t="s">
        <v>1104</v>
      </c>
      <c r="CC414" s="190" t="s">
        <v>1104</v>
      </c>
      <c r="CD414" s="190" t="s">
        <v>1104</v>
      </c>
      <c r="CE414" s="190" t="s">
        <v>1104</v>
      </c>
      <c r="CF414" s="190" t="s">
        <v>1104</v>
      </c>
      <c r="CG414" s="190" t="s">
        <v>1104</v>
      </c>
      <c r="CH414" s="190" t="s">
        <v>1104</v>
      </c>
      <c r="CI414" s="190" t="s">
        <v>1104</v>
      </c>
      <c r="CJ414" s="190" t="s">
        <v>1104</v>
      </c>
      <c r="CK414" s="190" t="s">
        <v>1104</v>
      </c>
      <c r="CL414" s="190" t="s">
        <v>1104</v>
      </c>
      <c r="CM414" s="190"/>
      <c r="CN414" s="190" t="s">
        <v>1104</v>
      </c>
      <c r="CO414" s="190" t="s">
        <v>1104</v>
      </c>
      <c r="CP414" s="190" t="s">
        <v>1104</v>
      </c>
      <c r="CQ414" s="190" t="s">
        <v>1104</v>
      </c>
      <c r="CR414" s="190"/>
      <c r="CS414" s="190" t="s">
        <v>3491</v>
      </c>
      <c r="CT414" s="190" t="s">
        <v>3491</v>
      </c>
      <c r="CU414" s="190" t="s">
        <v>3491</v>
      </c>
      <c r="CV414" s="190" t="s">
        <v>3491</v>
      </c>
      <c r="CW414" s="190"/>
      <c r="CX414" s="190" t="s">
        <v>3491</v>
      </c>
      <c r="CY414" s="190" t="s">
        <v>1104</v>
      </c>
      <c r="CZ414" s="190" t="s">
        <v>1104</v>
      </c>
      <c r="DA414" s="190" t="s">
        <v>3488</v>
      </c>
      <c r="DB414" s="190" t="s">
        <v>1104</v>
      </c>
      <c r="DC414" s="190" t="s">
        <v>1104</v>
      </c>
      <c r="DD414" s="190" t="s">
        <v>1104</v>
      </c>
      <c r="DF414" s="174">
        <v>3</v>
      </c>
    </row>
    <row r="415" spans="5:110" ht="13.35" customHeight="1" x14ac:dyDescent="0.2">
      <c r="E415" s="182" t="s">
        <v>3492</v>
      </c>
      <c r="F415" s="190" t="s">
        <v>1075</v>
      </c>
      <c r="G415" s="190" t="s">
        <v>1075</v>
      </c>
      <c r="H415" s="190" t="s">
        <v>1075</v>
      </c>
      <c r="I415" s="190" t="s">
        <v>1075</v>
      </c>
      <c r="J415" s="190" t="s">
        <v>1075</v>
      </c>
      <c r="K415" s="190" t="s">
        <v>1075</v>
      </c>
      <c r="L415" s="190" t="s">
        <v>1075</v>
      </c>
      <c r="M415" s="190" t="s">
        <v>1075</v>
      </c>
      <c r="N415" s="190" t="s">
        <v>1075</v>
      </c>
      <c r="O415" s="190" t="s">
        <v>1075</v>
      </c>
      <c r="P415" s="190" t="s">
        <v>1075</v>
      </c>
      <c r="Q415" s="190" t="s">
        <v>3493</v>
      </c>
      <c r="R415" s="190" t="s">
        <v>3493</v>
      </c>
      <c r="S415" s="190" t="s">
        <v>3493</v>
      </c>
      <c r="T415" s="190" t="s">
        <v>1075</v>
      </c>
      <c r="U415" s="190" t="s">
        <v>1075</v>
      </c>
      <c r="V415" s="190" t="s">
        <v>1075</v>
      </c>
      <c r="W415" s="190" t="s">
        <v>1075</v>
      </c>
      <c r="X415" s="190" t="s">
        <v>1075</v>
      </c>
      <c r="Y415" s="190" t="s">
        <v>1075</v>
      </c>
      <c r="Z415" s="190"/>
      <c r="AA415" s="190" t="s">
        <v>929</v>
      </c>
      <c r="AB415" s="190" t="s">
        <v>929</v>
      </c>
      <c r="AC415" s="190" t="s">
        <v>934</v>
      </c>
      <c r="AD415" s="190" t="s">
        <v>934</v>
      </c>
      <c r="AE415" s="190"/>
      <c r="AF415" s="190" t="s">
        <v>3493</v>
      </c>
      <c r="AG415" s="190" t="s">
        <v>1075</v>
      </c>
      <c r="AH415" s="190" t="s">
        <v>1075</v>
      </c>
      <c r="AI415" s="190"/>
      <c r="AJ415" s="190" t="s">
        <v>1075</v>
      </c>
      <c r="AK415" s="190" t="s">
        <v>3493</v>
      </c>
      <c r="AL415" s="190" t="s">
        <v>1075</v>
      </c>
      <c r="AM415" s="190" t="s">
        <v>3493</v>
      </c>
      <c r="AN415" s="190"/>
      <c r="AO415" s="190" t="s">
        <v>3493</v>
      </c>
      <c r="AP415" s="190" t="s">
        <v>3493</v>
      </c>
      <c r="AQ415" s="190" t="s">
        <v>1075</v>
      </c>
      <c r="AR415" s="190"/>
      <c r="AS415" s="190" t="s">
        <v>1075</v>
      </c>
      <c r="AT415" s="190" t="s">
        <v>1075</v>
      </c>
      <c r="AU415" s="190" t="s">
        <v>1075</v>
      </c>
      <c r="AV415" s="190" t="s">
        <v>1075</v>
      </c>
      <c r="AW415" s="190" t="s">
        <v>1075</v>
      </c>
      <c r="AX415" s="190" t="s">
        <v>1075</v>
      </c>
      <c r="AY415" s="190" t="s">
        <v>1075</v>
      </c>
      <c r="AZ415" s="190" t="s">
        <v>1075</v>
      </c>
      <c r="BA415" s="190" t="s">
        <v>1075</v>
      </c>
      <c r="BB415" s="190" t="s">
        <v>1075</v>
      </c>
      <c r="BC415" s="190" t="s">
        <v>1075</v>
      </c>
      <c r="BD415" s="190" t="s">
        <v>1075</v>
      </c>
      <c r="BE415" s="190" t="s">
        <v>1075</v>
      </c>
      <c r="BF415" s="190" t="s">
        <v>1075</v>
      </c>
      <c r="BG415" s="190" t="s">
        <v>1075</v>
      </c>
      <c r="BH415" s="190" t="s">
        <v>1075</v>
      </c>
      <c r="BI415" s="190" t="s">
        <v>1075</v>
      </c>
      <c r="BJ415" s="190" t="s">
        <v>1075</v>
      </c>
      <c r="BK415" s="190" t="s">
        <v>1075</v>
      </c>
      <c r="BL415" s="190" t="s">
        <v>1075</v>
      </c>
      <c r="BM415" s="190" t="s">
        <v>1075</v>
      </c>
      <c r="BN415" s="190" t="s">
        <v>1075</v>
      </c>
      <c r="BO415" s="190" t="s">
        <v>1075</v>
      </c>
      <c r="BP415" s="190" t="s">
        <v>1075</v>
      </c>
      <c r="BQ415" s="190" t="s">
        <v>1075</v>
      </c>
      <c r="BR415" s="190" t="s">
        <v>1075</v>
      </c>
      <c r="BS415" s="190" t="s">
        <v>1075</v>
      </c>
      <c r="BT415" s="190" t="s">
        <v>1075</v>
      </c>
      <c r="BU415" s="190" t="s">
        <v>1075</v>
      </c>
      <c r="BV415" s="190" t="s">
        <v>1075</v>
      </c>
      <c r="BW415" s="190" t="s">
        <v>1075</v>
      </c>
      <c r="BX415" s="190" t="s">
        <v>1075</v>
      </c>
      <c r="BY415" s="190" t="s">
        <v>1075</v>
      </c>
      <c r="BZ415" s="190" t="s">
        <v>1075</v>
      </c>
      <c r="CA415" s="190" t="s">
        <v>1075</v>
      </c>
      <c r="CB415" s="190" t="s">
        <v>1075</v>
      </c>
      <c r="CC415" s="190" t="s">
        <v>1075</v>
      </c>
      <c r="CD415" s="190" t="s">
        <v>1075</v>
      </c>
      <c r="CE415" s="190" t="s">
        <v>1075</v>
      </c>
      <c r="CF415" s="190" t="s">
        <v>1075</v>
      </c>
      <c r="CG415" s="190" t="s">
        <v>1075</v>
      </c>
      <c r="CH415" s="190" t="s">
        <v>1075</v>
      </c>
      <c r="CI415" s="190" t="s">
        <v>1075</v>
      </c>
      <c r="CJ415" s="190" t="s">
        <v>1075</v>
      </c>
      <c r="CK415" s="190" t="s">
        <v>1075</v>
      </c>
      <c r="CL415" s="190" t="s">
        <v>1075</v>
      </c>
      <c r="CM415" s="190"/>
      <c r="CN415" s="190" t="s">
        <v>1075</v>
      </c>
      <c r="CO415" s="190" t="s">
        <v>1075</v>
      </c>
      <c r="CP415" s="190" t="s">
        <v>1075</v>
      </c>
      <c r="CQ415" s="190" t="s">
        <v>1075</v>
      </c>
      <c r="CR415" s="190"/>
      <c r="CS415" s="190" t="s">
        <v>1075</v>
      </c>
      <c r="CT415" s="190" t="s">
        <v>1075</v>
      </c>
      <c r="CU415" s="190" t="s">
        <v>1075</v>
      </c>
      <c r="CV415" s="190" t="s">
        <v>1075</v>
      </c>
      <c r="CW415" s="190"/>
      <c r="CX415" s="190" t="s">
        <v>1075</v>
      </c>
      <c r="CY415" s="190" t="s">
        <v>3493</v>
      </c>
      <c r="CZ415" s="190" t="s">
        <v>3493</v>
      </c>
      <c r="DA415" s="190" t="s">
        <v>1075</v>
      </c>
      <c r="DB415" s="190" t="s">
        <v>1075</v>
      </c>
      <c r="DC415" s="190" t="s">
        <v>1075</v>
      </c>
      <c r="DD415" s="190" t="s">
        <v>1075</v>
      </c>
      <c r="DF415" s="174">
        <v>4</v>
      </c>
    </row>
    <row r="416" spans="5:110" ht="13.35" customHeight="1" x14ac:dyDescent="0.2">
      <c r="E416" s="182" t="s">
        <v>758</v>
      </c>
      <c r="F416" s="190" t="s">
        <v>1079</v>
      </c>
      <c r="G416" s="190" t="s">
        <v>3494</v>
      </c>
      <c r="H416" s="190" t="s">
        <v>1080</v>
      </c>
      <c r="I416" s="190" t="s">
        <v>3495</v>
      </c>
      <c r="J416" s="190" t="s">
        <v>3495</v>
      </c>
      <c r="K416" s="190" t="s">
        <v>1096</v>
      </c>
      <c r="L416" s="190" t="s">
        <v>1096</v>
      </c>
      <c r="M416" s="190" t="s">
        <v>1096</v>
      </c>
      <c r="N416" s="190" t="s">
        <v>1096</v>
      </c>
      <c r="O416" s="190" t="s">
        <v>1096</v>
      </c>
      <c r="P416" s="190" t="s">
        <v>1096</v>
      </c>
      <c r="Q416" s="190" t="s">
        <v>1089</v>
      </c>
      <c r="R416" s="190" t="s">
        <v>1089</v>
      </c>
      <c r="S416" s="190" t="s">
        <v>1089</v>
      </c>
      <c r="T416" s="190" t="s">
        <v>1087</v>
      </c>
      <c r="U416" s="190" t="s">
        <v>1087</v>
      </c>
      <c r="V416" s="190" t="s">
        <v>1087</v>
      </c>
      <c r="W416" s="190" t="s">
        <v>1087</v>
      </c>
      <c r="X416" s="190" t="s">
        <v>1087</v>
      </c>
      <c r="Y416" s="190" t="s">
        <v>1087</v>
      </c>
      <c r="Z416" s="190"/>
      <c r="AA416" s="190" t="s">
        <v>1107</v>
      </c>
      <c r="AB416" s="190" t="s">
        <v>1107</v>
      </c>
      <c r="AC416" s="190" t="s">
        <v>1070</v>
      </c>
      <c r="AD416" s="190" t="s">
        <v>1070</v>
      </c>
      <c r="AE416" s="190"/>
      <c r="AF416" s="190" t="s">
        <v>1089</v>
      </c>
      <c r="AG416" s="190" t="s">
        <v>1096</v>
      </c>
      <c r="AH416" s="190" t="s">
        <v>1087</v>
      </c>
      <c r="AI416" s="190"/>
      <c r="AJ416" s="190" t="s">
        <v>1087</v>
      </c>
      <c r="AK416" s="190" t="s">
        <v>1089</v>
      </c>
      <c r="AL416" s="190" t="s">
        <v>1096</v>
      </c>
      <c r="AM416" s="190" t="s">
        <v>1089</v>
      </c>
      <c r="AN416" s="190"/>
      <c r="AO416" s="190" t="s">
        <v>1089</v>
      </c>
      <c r="AP416" s="190" t="s">
        <v>1089</v>
      </c>
      <c r="AQ416" s="190" t="s">
        <v>1087</v>
      </c>
      <c r="AR416" s="190"/>
      <c r="AS416" s="190" t="s">
        <v>1096</v>
      </c>
      <c r="AT416" s="190" t="s">
        <v>1096</v>
      </c>
      <c r="AU416" s="190" t="s">
        <v>1096</v>
      </c>
      <c r="AV416" s="190" t="s">
        <v>1096</v>
      </c>
      <c r="AW416" s="190" t="s">
        <v>1096</v>
      </c>
      <c r="AX416" s="190" t="s">
        <v>1096</v>
      </c>
      <c r="AY416" s="190" t="s">
        <v>1096</v>
      </c>
      <c r="AZ416" s="190" t="s">
        <v>1096</v>
      </c>
      <c r="BA416" s="190" t="s">
        <v>1096</v>
      </c>
      <c r="BB416" s="190" t="s">
        <v>1096</v>
      </c>
      <c r="BC416" s="190" t="s">
        <v>1096</v>
      </c>
      <c r="BD416" s="190" t="s">
        <v>1096</v>
      </c>
      <c r="BE416" s="190" t="s">
        <v>1096</v>
      </c>
      <c r="BF416" s="190" t="s">
        <v>1096</v>
      </c>
      <c r="BG416" s="190" t="s">
        <v>1096</v>
      </c>
      <c r="BH416" s="190" t="s">
        <v>1096</v>
      </c>
      <c r="BI416" s="190" t="s">
        <v>1096</v>
      </c>
      <c r="BJ416" s="190" t="s">
        <v>1096</v>
      </c>
      <c r="BK416" s="190" t="s">
        <v>1096</v>
      </c>
      <c r="BL416" s="190" t="s">
        <v>1096</v>
      </c>
      <c r="BM416" s="190" t="s">
        <v>1096</v>
      </c>
      <c r="BN416" s="190" t="s">
        <v>1096</v>
      </c>
      <c r="BO416" s="190" t="s">
        <v>1096</v>
      </c>
      <c r="BP416" s="190" t="s">
        <v>1096</v>
      </c>
      <c r="BQ416" s="190" t="s">
        <v>1096</v>
      </c>
      <c r="BR416" s="190" t="s">
        <v>1096</v>
      </c>
      <c r="BS416" s="190" t="s">
        <v>1096</v>
      </c>
      <c r="BT416" s="190" t="s">
        <v>1096</v>
      </c>
      <c r="BU416" s="190" t="s">
        <v>1096</v>
      </c>
      <c r="BV416" s="190" t="s">
        <v>1096</v>
      </c>
      <c r="BW416" s="190" t="s">
        <v>1096</v>
      </c>
      <c r="BX416" s="190" t="s">
        <v>1096</v>
      </c>
      <c r="BY416" s="190" t="s">
        <v>1096</v>
      </c>
      <c r="BZ416" s="190" t="s">
        <v>1096</v>
      </c>
      <c r="CA416" s="190" t="s">
        <v>1096</v>
      </c>
      <c r="CB416" s="190" t="s">
        <v>1096</v>
      </c>
      <c r="CC416" s="190" t="s">
        <v>1096</v>
      </c>
      <c r="CD416" s="190" t="s">
        <v>1096</v>
      </c>
      <c r="CE416" s="190" t="s">
        <v>1096</v>
      </c>
      <c r="CF416" s="190" t="s">
        <v>1096</v>
      </c>
      <c r="CG416" s="190" t="s">
        <v>1096</v>
      </c>
      <c r="CH416" s="190" t="s">
        <v>1096</v>
      </c>
      <c r="CI416" s="190" t="s">
        <v>1096</v>
      </c>
      <c r="CJ416" s="190" t="s">
        <v>1096</v>
      </c>
      <c r="CK416" s="190" t="s">
        <v>1096</v>
      </c>
      <c r="CL416" s="190" t="s">
        <v>1096</v>
      </c>
      <c r="CM416" s="190"/>
      <c r="CN416" s="190" t="s">
        <v>1096</v>
      </c>
      <c r="CO416" s="190" t="s">
        <v>1096</v>
      </c>
      <c r="CP416" s="190" t="s">
        <v>1096</v>
      </c>
      <c r="CQ416" s="190" t="s">
        <v>1096</v>
      </c>
      <c r="CR416" s="190"/>
      <c r="CS416" s="190" t="s">
        <v>3495</v>
      </c>
      <c r="CT416" s="190" t="s">
        <v>1080</v>
      </c>
      <c r="CU416" s="190" t="s">
        <v>1079</v>
      </c>
      <c r="CV416" s="190" t="s">
        <v>1080</v>
      </c>
      <c r="CW416" s="190"/>
      <c r="CX416" s="190" t="s">
        <v>1087</v>
      </c>
      <c r="CY416" s="190" t="s">
        <v>1089</v>
      </c>
      <c r="CZ416" s="190" t="s">
        <v>1089</v>
      </c>
      <c r="DA416" s="190" t="s">
        <v>1108</v>
      </c>
      <c r="DB416" s="190" t="s">
        <v>1096</v>
      </c>
      <c r="DC416" s="190" t="s">
        <v>1096</v>
      </c>
      <c r="DD416" s="190" t="s">
        <v>1096</v>
      </c>
      <c r="DF416" s="174">
        <v>5</v>
      </c>
    </row>
    <row r="417" spans="5:110" ht="13.35" customHeight="1" x14ac:dyDescent="0.2">
      <c r="E417" s="182" t="s">
        <v>760</v>
      </c>
      <c r="F417" s="190" t="s">
        <v>1090</v>
      </c>
      <c r="G417" s="190" t="s">
        <v>3496</v>
      </c>
      <c r="H417" s="190" t="s">
        <v>1095</v>
      </c>
      <c r="I417" s="190" t="s">
        <v>1096</v>
      </c>
      <c r="J417" s="190" t="s">
        <v>1101</v>
      </c>
      <c r="K417" s="190" t="s">
        <v>3497</v>
      </c>
      <c r="L417" s="190" t="s">
        <v>3497</v>
      </c>
      <c r="M417" s="190" t="s">
        <v>3497</v>
      </c>
      <c r="N417" s="190" t="s">
        <v>3497</v>
      </c>
      <c r="O417" s="190" t="s">
        <v>3497</v>
      </c>
      <c r="P417" s="190" t="s">
        <v>3497</v>
      </c>
      <c r="Q417" s="190" t="s">
        <v>3498</v>
      </c>
      <c r="R417" s="190" t="s">
        <v>3498</v>
      </c>
      <c r="S417" s="190" t="s">
        <v>3498</v>
      </c>
      <c r="T417" s="190" t="s">
        <v>1089</v>
      </c>
      <c r="U417" s="190" t="s">
        <v>1089</v>
      </c>
      <c r="V417" s="190" t="s">
        <v>1089</v>
      </c>
      <c r="W417" s="190" t="s">
        <v>1089</v>
      </c>
      <c r="X417" s="190" t="s">
        <v>1089</v>
      </c>
      <c r="Y417" s="190" t="s">
        <v>1089</v>
      </c>
      <c r="Z417" s="190"/>
      <c r="AA417" s="190" t="s">
        <v>928</v>
      </c>
      <c r="AB417" s="190" t="s">
        <v>928</v>
      </c>
      <c r="AC417" s="190" t="s">
        <v>3499</v>
      </c>
      <c r="AD417" s="190" t="s">
        <v>3499</v>
      </c>
      <c r="AE417" s="190"/>
      <c r="AF417" s="190" t="s">
        <v>3498</v>
      </c>
      <c r="AG417" s="190" t="s">
        <v>3497</v>
      </c>
      <c r="AH417" s="190" t="s">
        <v>1089</v>
      </c>
      <c r="AI417" s="190"/>
      <c r="AJ417" s="190" t="s">
        <v>1089</v>
      </c>
      <c r="AK417" s="190" t="s">
        <v>3498</v>
      </c>
      <c r="AL417" s="190" t="s">
        <v>3497</v>
      </c>
      <c r="AM417" s="190" t="s">
        <v>3498</v>
      </c>
      <c r="AN417" s="190"/>
      <c r="AO417" s="190" t="s">
        <v>3498</v>
      </c>
      <c r="AP417" s="190" t="s">
        <v>3498</v>
      </c>
      <c r="AQ417" s="190" t="s">
        <v>1089</v>
      </c>
      <c r="AR417" s="190"/>
      <c r="AS417" s="190" t="s">
        <v>3497</v>
      </c>
      <c r="AT417" s="190" t="s">
        <v>3497</v>
      </c>
      <c r="AU417" s="190" t="s">
        <v>3497</v>
      </c>
      <c r="AV417" s="190" t="s">
        <v>3497</v>
      </c>
      <c r="AW417" s="190" t="s">
        <v>3497</v>
      </c>
      <c r="AX417" s="190" t="s">
        <v>3497</v>
      </c>
      <c r="AY417" s="190" t="s">
        <v>3497</v>
      </c>
      <c r="AZ417" s="190" t="s">
        <v>3497</v>
      </c>
      <c r="BA417" s="190" t="s">
        <v>3497</v>
      </c>
      <c r="BB417" s="190" t="s">
        <v>3497</v>
      </c>
      <c r="BC417" s="190" t="s">
        <v>3497</v>
      </c>
      <c r="BD417" s="190" t="s">
        <v>3497</v>
      </c>
      <c r="BE417" s="190" t="s">
        <v>3497</v>
      </c>
      <c r="BF417" s="190" t="s">
        <v>3497</v>
      </c>
      <c r="BG417" s="190" t="s">
        <v>3497</v>
      </c>
      <c r="BH417" s="190" t="s">
        <v>3497</v>
      </c>
      <c r="BI417" s="190" t="s">
        <v>3497</v>
      </c>
      <c r="BJ417" s="190" t="s">
        <v>3497</v>
      </c>
      <c r="BK417" s="190" t="s">
        <v>3497</v>
      </c>
      <c r="BL417" s="190" t="s">
        <v>3497</v>
      </c>
      <c r="BM417" s="190" t="s">
        <v>3497</v>
      </c>
      <c r="BN417" s="190" t="s">
        <v>3497</v>
      </c>
      <c r="BO417" s="190" t="s">
        <v>3497</v>
      </c>
      <c r="BP417" s="190" t="s">
        <v>3497</v>
      </c>
      <c r="BQ417" s="190" t="s">
        <v>3497</v>
      </c>
      <c r="BR417" s="190" t="s">
        <v>3497</v>
      </c>
      <c r="BS417" s="190" t="s">
        <v>3497</v>
      </c>
      <c r="BT417" s="190" t="s">
        <v>3497</v>
      </c>
      <c r="BU417" s="190" t="s">
        <v>3497</v>
      </c>
      <c r="BV417" s="190" t="s">
        <v>3497</v>
      </c>
      <c r="BW417" s="190" t="s">
        <v>3497</v>
      </c>
      <c r="BX417" s="190" t="s">
        <v>3497</v>
      </c>
      <c r="BY417" s="190" t="s">
        <v>3497</v>
      </c>
      <c r="BZ417" s="190" t="s">
        <v>3497</v>
      </c>
      <c r="CA417" s="190" t="s">
        <v>3497</v>
      </c>
      <c r="CB417" s="190" t="s">
        <v>3497</v>
      </c>
      <c r="CC417" s="190" t="s">
        <v>3497</v>
      </c>
      <c r="CD417" s="190" t="s">
        <v>3497</v>
      </c>
      <c r="CE417" s="190" t="s">
        <v>3497</v>
      </c>
      <c r="CF417" s="190" t="s">
        <v>3497</v>
      </c>
      <c r="CG417" s="190" t="s">
        <v>3497</v>
      </c>
      <c r="CH417" s="190" t="s">
        <v>3497</v>
      </c>
      <c r="CI417" s="190" t="s">
        <v>3497</v>
      </c>
      <c r="CJ417" s="190" t="s">
        <v>3497</v>
      </c>
      <c r="CK417" s="190" t="s">
        <v>3497</v>
      </c>
      <c r="CL417" s="190" t="s">
        <v>3497</v>
      </c>
      <c r="CM417" s="190"/>
      <c r="CN417" s="190" t="s">
        <v>3497</v>
      </c>
      <c r="CO417" s="190" t="s">
        <v>3497</v>
      </c>
      <c r="CP417" s="190" t="s">
        <v>3497</v>
      </c>
      <c r="CQ417" s="190" t="s">
        <v>3497</v>
      </c>
      <c r="CR417" s="190"/>
      <c r="CS417" s="190" t="s">
        <v>1090</v>
      </c>
      <c r="CT417" s="190" t="s">
        <v>3496</v>
      </c>
      <c r="CU417" s="190" t="s">
        <v>1101</v>
      </c>
      <c r="CV417" s="190" t="s">
        <v>1095</v>
      </c>
      <c r="CW417" s="190"/>
      <c r="CX417" s="190" t="s">
        <v>1089</v>
      </c>
      <c r="CY417" s="190" t="s">
        <v>3498</v>
      </c>
      <c r="CZ417" s="190" t="s">
        <v>3498</v>
      </c>
      <c r="DA417" s="190" t="s">
        <v>1068</v>
      </c>
      <c r="DB417" s="190" t="s">
        <v>3497</v>
      </c>
      <c r="DC417" s="190" t="s">
        <v>3497</v>
      </c>
      <c r="DD417" s="190" t="s">
        <v>3497</v>
      </c>
      <c r="DF417" s="174">
        <v>6</v>
      </c>
    </row>
    <row r="418" spans="5:110" ht="13.35" customHeight="1" x14ac:dyDescent="0.2">
      <c r="E418" s="182" t="s">
        <v>761</v>
      </c>
      <c r="F418" s="190" t="s">
        <v>1097</v>
      </c>
      <c r="G418" s="190" t="s">
        <v>1097</v>
      </c>
      <c r="H418" s="190" t="s">
        <v>1078</v>
      </c>
      <c r="I418" s="190" t="s">
        <v>1078</v>
      </c>
      <c r="J418" s="190" t="s">
        <v>3500</v>
      </c>
      <c r="K418" s="190" t="s">
        <v>1088</v>
      </c>
      <c r="L418" s="190" t="s">
        <v>1088</v>
      </c>
      <c r="M418" s="190" t="s">
        <v>1088</v>
      </c>
      <c r="N418" s="190" t="s">
        <v>1088</v>
      </c>
      <c r="O418" s="190" t="s">
        <v>1088</v>
      </c>
      <c r="P418" s="190" t="s">
        <v>1088</v>
      </c>
      <c r="Q418" s="190" t="s">
        <v>1104</v>
      </c>
      <c r="R418" s="190" t="s">
        <v>1104</v>
      </c>
      <c r="S418" s="190" t="s">
        <v>1104</v>
      </c>
      <c r="T418" s="190" t="s">
        <v>1100</v>
      </c>
      <c r="U418" s="190" t="s">
        <v>1100</v>
      </c>
      <c r="V418" s="190" t="s">
        <v>1100</v>
      </c>
      <c r="W418" s="190" t="s">
        <v>1100</v>
      </c>
      <c r="X418" s="190" t="s">
        <v>1100</v>
      </c>
      <c r="Y418" s="190" t="s">
        <v>1100</v>
      </c>
      <c r="Z418" s="190"/>
      <c r="AA418" s="190" t="s">
        <v>928</v>
      </c>
      <c r="AB418" s="190" t="s">
        <v>928</v>
      </c>
      <c r="AC418" s="190" t="s">
        <v>3488</v>
      </c>
      <c r="AD418" s="190" t="s">
        <v>3488</v>
      </c>
      <c r="AE418" s="190"/>
      <c r="AF418" s="190" t="s">
        <v>1104</v>
      </c>
      <c r="AG418" s="190" t="s">
        <v>1088</v>
      </c>
      <c r="AH418" s="190" t="s">
        <v>1100</v>
      </c>
      <c r="AI418" s="190"/>
      <c r="AJ418" s="190" t="s">
        <v>1100</v>
      </c>
      <c r="AK418" s="190" t="s">
        <v>1104</v>
      </c>
      <c r="AL418" s="190" t="s">
        <v>1088</v>
      </c>
      <c r="AM418" s="190" t="s">
        <v>1104</v>
      </c>
      <c r="AN418" s="190"/>
      <c r="AO418" s="190" t="s">
        <v>1104</v>
      </c>
      <c r="AP418" s="190" t="s">
        <v>1104</v>
      </c>
      <c r="AQ418" s="190" t="s">
        <v>1100</v>
      </c>
      <c r="AR418" s="190"/>
      <c r="AS418" s="190" t="s">
        <v>1088</v>
      </c>
      <c r="AT418" s="190" t="s">
        <v>1088</v>
      </c>
      <c r="AU418" s="190" t="s">
        <v>1088</v>
      </c>
      <c r="AV418" s="190" t="s">
        <v>1088</v>
      </c>
      <c r="AW418" s="190" t="s">
        <v>1088</v>
      </c>
      <c r="AX418" s="190" t="s">
        <v>1088</v>
      </c>
      <c r="AY418" s="190" t="s">
        <v>1088</v>
      </c>
      <c r="AZ418" s="190" t="s">
        <v>1088</v>
      </c>
      <c r="BA418" s="190" t="s">
        <v>1088</v>
      </c>
      <c r="BB418" s="190" t="s">
        <v>1088</v>
      </c>
      <c r="BC418" s="190" t="s">
        <v>1088</v>
      </c>
      <c r="BD418" s="190" t="s">
        <v>1088</v>
      </c>
      <c r="BE418" s="190" t="s">
        <v>1088</v>
      </c>
      <c r="BF418" s="190" t="s">
        <v>1088</v>
      </c>
      <c r="BG418" s="190" t="s">
        <v>1088</v>
      </c>
      <c r="BH418" s="190" t="s">
        <v>1088</v>
      </c>
      <c r="BI418" s="190" t="s">
        <v>1088</v>
      </c>
      <c r="BJ418" s="190" t="s">
        <v>1088</v>
      </c>
      <c r="BK418" s="190" t="s">
        <v>1088</v>
      </c>
      <c r="BL418" s="190" t="s">
        <v>1088</v>
      </c>
      <c r="BM418" s="190" t="s">
        <v>1088</v>
      </c>
      <c r="BN418" s="190" t="s">
        <v>1088</v>
      </c>
      <c r="BO418" s="190" t="s">
        <v>1088</v>
      </c>
      <c r="BP418" s="190" t="s">
        <v>1088</v>
      </c>
      <c r="BQ418" s="190" t="s">
        <v>1088</v>
      </c>
      <c r="BR418" s="190" t="s">
        <v>1088</v>
      </c>
      <c r="BS418" s="190" t="s">
        <v>1088</v>
      </c>
      <c r="BT418" s="190" t="s">
        <v>1088</v>
      </c>
      <c r="BU418" s="190" t="s">
        <v>1088</v>
      </c>
      <c r="BV418" s="190" t="s">
        <v>1088</v>
      </c>
      <c r="BW418" s="190" t="s">
        <v>1088</v>
      </c>
      <c r="BX418" s="190" t="s">
        <v>1088</v>
      </c>
      <c r="BY418" s="190" t="s">
        <v>1088</v>
      </c>
      <c r="BZ418" s="190" t="s">
        <v>1088</v>
      </c>
      <c r="CA418" s="190" t="s">
        <v>1088</v>
      </c>
      <c r="CB418" s="190" t="s">
        <v>1088</v>
      </c>
      <c r="CC418" s="190" t="s">
        <v>1088</v>
      </c>
      <c r="CD418" s="190" t="s">
        <v>1088</v>
      </c>
      <c r="CE418" s="190" t="s">
        <v>1088</v>
      </c>
      <c r="CF418" s="190" t="s">
        <v>1088</v>
      </c>
      <c r="CG418" s="190" t="s">
        <v>1088</v>
      </c>
      <c r="CH418" s="190" t="s">
        <v>1088</v>
      </c>
      <c r="CI418" s="190" t="s">
        <v>1088</v>
      </c>
      <c r="CJ418" s="190" t="s">
        <v>1088</v>
      </c>
      <c r="CK418" s="190" t="s">
        <v>1088</v>
      </c>
      <c r="CL418" s="190" t="s">
        <v>1088</v>
      </c>
      <c r="CM418" s="190"/>
      <c r="CN418" s="190" t="s">
        <v>1088</v>
      </c>
      <c r="CO418" s="190" t="s">
        <v>1088</v>
      </c>
      <c r="CP418" s="190" t="s">
        <v>1088</v>
      </c>
      <c r="CQ418" s="190" t="s">
        <v>1088</v>
      </c>
      <c r="CR418" s="190"/>
      <c r="CS418" s="190" t="s">
        <v>3500</v>
      </c>
      <c r="CT418" s="190" t="s">
        <v>1097</v>
      </c>
      <c r="CU418" s="190" t="s">
        <v>1097</v>
      </c>
      <c r="CV418" s="190" t="s">
        <v>1078</v>
      </c>
      <c r="CW418" s="190"/>
      <c r="CX418" s="190" t="s">
        <v>1100</v>
      </c>
      <c r="CY418" s="190" t="s">
        <v>1104</v>
      </c>
      <c r="CZ418" s="190" t="s">
        <v>1104</v>
      </c>
      <c r="DA418" s="190" t="s">
        <v>3501</v>
      </c>
      <c r="DB418" s="190" t="s">
        <v>1088</v>
      </c>
      <c r="DC418" s="190" t="s">
        <v>1088</v>
      </c>
      <c r="DD418" s="190" t="s">
        <v>1088</v>
      </c>
      <c r="DF418" s="174">
        <v>7</v>
      </c>
    </row>
    <row r="419" spans="5:110" ht="13.35" customHeight="1" x14ac:dyDescent="0.2">
      <c r="E419" s="182" t="s">
        <v>762</v>
      </c>
      <c r="F419" s="174" t="str">
        <f t="shared" ref="F419:Y420" si="36">F38</f>
        <v>90*</v>
      </c>
      <c r="G419" s="174" t="str">
        <f t="shared" si="36"/>
        <v>80*</v>
      </c>
      <c r="H419" s="174" t="str">
        <f t="shared" si="36"/>
        <v>60*</v>
      </c>
      <c r="I419" s="174" t="str">
        <f t="shared" si="36"/>
        <v>70*</v>
      </c>
      <c r="J419" s="174" t="str">
        <f t="shared" si="36"/>
        <v>40*</v>
      </c>
      <c r="K419" s="174" t="str">
        <f t="shared" si="36"/>
        <v>10/10*</v>
      </c>
      <c r="L419" s="174" t="str">
        <f t="shared" si="36"/>
        <v>10/10*</v>
      </c>
      <c r="M419" s="174" t="str">
        <f t="shared" si="36"/>
        <v>10/10*</v>
      </c>
      <c r="N419" s="174" t="str">
        <f t="shared" si="36"/>
        <v>10/10*</v>
      </c>
      <c r="O419" s="174" t="str">
        <f t="shared" si="36"/>
        <v>10/10*</v>
      </c>
      <c r="P419" s="174" t="str">
        <f t="shared" si="36"/>
        <v>10/10*</v>
      </c>
      <c r="Q419" s="174" t="str">
        <f t="shared" si="36"/>
        <v>12*</v>
      </c>
      <c r="R419" s="174" t="str">
        <f t="shared" si="36"/>
        <v>12*</v>
      </c>
      <c r="S419" s="174" t="str">
        <f t="shared" si="36"/>
        <v>12*</v>
      </c>
      <c r="T419" s="174" t="str">
        <f t="shared" si="36"/>
        <v>30*</v>
      </c>
      <c r="U419" s="174" t="str">
        <f t="shared" si="36"/>
        <v>30*</v>
      </c>
      <c r="V419" s="174" t="str">
        <f t="shared" si="36"/>
        <v>30*</v>
      </c>
      <c r="W419" s="174" t="str">
        <f t="shared" si="36"/>
        <v>30*</v>
      </c>
      <c r="X419" s="174" t="str">
        <f t="shared" si="36"/>
        <v>30*</v>
      </c>
      <c r="Y419" s="174" t="str">
        <f t="shared" si="36"/>
        <v>30*</v>
      </c>
      <c r="Z419" s="190"/>
      <c r="AA419" s="174" t="str">
        <f t="shared" ref="AA419:AD420" si="37">AA38</f>
        <v>5/5</v>
      </c>
      <c r="AB419" s="174" t="str">
        <f t="shared" si="37"/>
        <v>5/5</v>
      </c>
      <c r="AC419" s="174" t="str">
        <f t="shared" si="37"/>
        <v>12*</v>
      </c>
      <c r="AD419" s="174" t="str">
        <f t="shared" si="37"/>
        <v>12*</v>
      </c>
      <c r="AE419" s="190"/>
      <c r="AF419" s="174" t="str">
        <f t="shared" ref="AF419:AH420" si="38">AF38</f>
        <v>12*</v>
      </c>
      <c r="AG419" s="174" t="str">
        <f t="shared" si="38"/>
        <v>10/10*</v>
      </c>
      <c r="AH419" s="174" t="str">
        <f t="shared" si="38"/>
        <v>30*</v>
      </c>
      <c r="AI419" s="190"/>
      <c r="AJ419" s="174" t="str">
        <f t="shared" ref="AJ419:AM420" si="39">AJ38</f>
        <v>30*</v>
      </c>
      <c r="AK419" s="174" t="str">
        <f t="shared" si="39"/>
        <v>12*</v>
      </c>
      <c r="AL419" s="174" t="str">
        <f t="shared" si="39"/>
        <v>10/10*</v>
      </c>
      <c r="AM419" s="174" t="str">
        <f t="shared" si="39"/>
        <v>12*</v>
      </c>
      <c r="AN419" s="190"/>
      <c r="AO419" s="174" t="str">
        <f t="shared" ref="AO419:AQ420" si="40">AO38</f>
        <v>12*</v>
      </c>
      <c r="AP419" s="174" t="str">
        <f t="shared" si="40"/>
        <v>12*</v>
      </c>
      <c r="AQ419" s="174" t="str">
        <f t="shared" si="40"/>
        <v>30*</v>
      </c>
      <c r="AR419" s="190"/>
      <c r="AS419" s="174" t="str">
        <f t="shared" ref="AS419:CQ420" si="41">AS38</f>
        <v>10/10*</v>
      </c>
      <c r="AT419" s="174" t="str">
        <f t="shared" si="41"/>
        <v>10/10*</v>
      </c>
      <c r="AU419" s="174" t="str">
        <f t="shared" si="41"/>
        <v>10/10*</v>
      </c>
      <c r="AV419" s="174" t="str">
        <f t="shared" si="41"/>
        <v>10/10*</v>
      </c>
      <c r="AW419" s="174" t="str">
        <f t="shared" si="41"/>
        <v>10/10*</v>
      </c>
      <c r="AX419" s="174" t="str">
        <f t="shared" si="41"/>
        <v>10/10*</v>
      </c>
      <c r="AY419" s="174" t="str">
        <f t="shared" si="41"/>
        <v>10/10*</v>
      </c>
      <c r="AZ419" s="174" t="str">
        <f t="shared" si="41"/>
        <v>10/10*</v>
      </c>
      <c r="BA419" s="174" t="str">
        <f t="shared" si="41"/>
        <v>10/10*</v>
      </c>
      <c r="BB419" s="174" t="str">
        <f t="shared" si="41"/>
        <v>10/10*</v>
      </c>
      <c r="BC419" s="174" t="str">
        <f t="shared" si="41"/>
        <v>10/10*</v>
      </c>
      <c r="BD419" s="174" t="str">
        <f t="shared" si="41"/>
        <v>10/10*</v>
      </c>
      <c r="BE419" s="174" t="str">
        <f t="shared" si="41"/>
        <v>10/10*</v>
      </c>
      <c r="BF419" s="174" t="str">
        <f t="shared" si="41"/>
        <v>10/10*</v>
      </c>
      <c r="BG419" s="174" t="str">
        <f t="shared" si="41"/>
        <v>10/10*</v>
      </c>
      <c r="BH419" s="174" t="str">
        <f t="shared" si="41"/>
        <v>10/10*</v>
      </c>
      <c r="BI419" s="174" t="str">
        <f t="shared" si="41"/>
        <v>10/10*</v>
      </c>
      <c r="BJ419" s="174" t="str">
        <f t="shared" si="41"/>
        <v>10/10*</v>
      </c>
      <c r="BK419" s="174" t="str">
        <f t="shared" si="41"/>
        <v>10/10*</v>
      </c>
      <c r="BL419" s="174" t="str">
        <f t="shared" si="41"/>
        <v>10/10*</v>
      </c>
      <c r="BM419" s="174" t="str">
        <f t="shared" si="41"/>
        <v>10/10*</v>
      </c>
      <c r="BN419" s="174" t="str">
        <f t="shared" si="41"/>
        <v>10/10*</v>
      </c>
      <c r="BO419" s="174" t="str">
        <f t="shared" si="41"/>
        <v>10/10*</v>
      </c>
      <c r="BP419" s="174" t="str">
        <f t="shared" si="41"/>
        <v>10/10*</v>
      </c>
      <c r="BQ419" s="174" t="str">
        <f t="shared" si="41"/>
        <v>10/10*</v>
      </c>
      <c r="BR419" s="174" t="str">
        <f t="shared" si="41"/>
        <v>10/10*</v>
      </c>
      <c r="BS419" s="174" t="str">
        <f t="shared" si="41"/>
        <v>10/10*</v>
      </c>
      <c r="BT419" s="174" t="str">
        <f t="shared" si="41"/>
        <v>10/10*</v>
      </c>
      <c r="BU419" s="174" t="str">
        <f t="shared" si="41"/>
        <v>10/10*</v>
      </c>
      <c r="BV419" s="174" t="str">
        <f t="shared" si="41"/>
        <v>10/10*</v>
      </c>
      <c r="BW419" s="174" t="str">
        <f t="shared" si="41"/>
        <v>10/10*</v>
      </c>
      <c r="BX419" s="174" t="str">
        <f t="shared" si="41"/>
        <v>10/10*</v>
      </c>
      <c r="BY419" s="174" t="str">
        <f t="shared" si="41"/>
        <v>10/10*</v>
      </c>
      <c r="BZ419" s="174" t="str">
        <f t="shared" si="41"/>
        <v>10/10*</v>
      </c>
      <c r="CA419" s="174" t="str">
        <f t="shared" si="41"/>
        <v>10/10*</v>
      </c>
      <c r="CB419" s="174" t="str">
        <f t="shared" si="41"/>
        <v>10/10*</v>
      </c>
      <c r="CC419" s="174" t="str">
        <f t="shared" si="41"/>
        <v>10/10*</v>
      </c>
      <c r="CD419" s="174" t="str">
        <f t="shared" si="41"/>
        <v>10/10*</v>
      </c>
      <c r="CE419" s="174" t="str">
        <f t="shared" si="41"/>
        <v>10/10*</v>
      </c>
      <c r="CF419" s="174" t="str">
        <f t="shared" si="41"/>
        <v>10/10*</v>
      </c>
      <c r="CG419" s="174" t="str">
        <f t="shared" si="41"/>
        <v>10/10*</v>
      </c>
      <c r="CH419" s="174" t="str">
        <f t="shared" si="41"/>
        <v>10/10*</v>
      </c>
      <c r="CI419" s="174" t="str">
        <f t="shared" si="41"/>
        <v>10/10*</v>
      </c>
      <c r="CJ419" s="174" t="str">
        <f t="shared" si="41"/>
        <v>10/10*</v>
      </c>
      <c r="CK419" s="174" t="str">
        <f t="shared" si="41"/>
        <v>10/10*</v>
      </c>
      <c r="CL419" s="174" t="str">
        <f t="shared" si="41"/>
        <v>10/10*</v>
      </c>
      <c r="CN419" s="174" t="str">
        <f t="shared" si="41"/>
        <v>10/10*</v>
      </c>
      <c r="CO419" s="174" t="str">
        <f t="shared" si="41"/>
        <v>10/10*</v>
      </c>
      <c r="CP419" s="174" t="str">
        <f t="shared" si="41"/>
        <v>10/10*</v>
      </c>
      <c r="CQ419" s="174" t="str">
        <f t="shared" si="41"/>
        <v>10/10*</v>
      </c>
      <c r="CR419" s="190"/>
      <c r="CS419" s="174" t="str">
        <f t="shared" ref="CS419:CV420" si="42">CS38</f>
        <v>100*</v>
      </c>
      <c r="CT419" s="174" t="str">
        <f t="shared" si="42"/>
        <v>80*</v>
      </c>
      <c r="CU419" s="174" t="str">
        <f t="shared" si="42"/>
        <v>50*</v>
      </c>
      <c r="CV419" s="174" t="str">
        <f t="shared" si="42"/>
        <v>60*</v>
      </c>
      <c r="CW419" s="190"/>
      <c r="CX419" s="174" t="str">
        <f t="shared" ref="CX419:DD420" si="43">CX38</f>
        <v>30*</v>
      </c>
      <c r="CY419" s="174" t="str">
        <f t="shared" si="43"/>
        <v>12*</v>
      </c>
      <c r="CZ419" s="174" t="str">
        <f t="shared" si="43"/>
        <v>12*</v>
      </c>
      <c r="DA419" s="174" t="str">
        <f t="shared" si="43"/>
        <v>90</v>
      </c>
      <c r="DB419" s="174" t="str">
        <f t="shared" si="43"/>
        <v>10/10*</v>
      </c>
      <c r="DC419" s="174" t="str">
        <f t="shared" si="43"/>
        <v>10/10*</v>
      </c>
      <c r="DD419" s="174" t="str">
        <f t="shared" si="43"/>
        <v>10/10*</v>
      </c>
      <c r="DF419" s="174">
        <v>8</v>
      </c>
    </row>
    <row r="420" spans="5:110" ht="13.35" customHeight="1" x14ac:dyDescent="0.2">
      <c r="E420" s="182" t="s">
        <v>763</v>
      </c>
      <c r="F420" s="174" t="str">
        <f t="shared" si="36"/>
        <v>105*</v>
      </c>
      <c r="G420" s="174" t="str">
        <f t="shared" si="36"/>
        <v>100*</v>
      </c>
      <c r="H420" s="174" t="str">
        <f t="shared" si="36"/>
        <v>90*</v>
      </c>
      <c r="I420" s="174" t="str">
        <f t="shared" si="36"/>
        <v>95*</v>
      </c>
      <c r="J420" s="174" t="str">
        <f t="shared" si="36"/>
        <v>80*</v>
      </c>
      <c r="K420" s="174" t="str">
        <f t="shared" si="36"/>
        <v>20*</v>
      </c>
      <c r="L420" s="174" t="str">
        <f t="shared" si="36"/>
        <v>20*</v>
      </c>
      <c r="M420" s="174" t="str">
        <f t="shared" si="36"/>
        <v>20*</v>
      </c>
      <c r="N420" s="174" t="str">
        <f t="shared" si="36"/>
        <v>20*</v>
      </c>
      <c r="O420" s="174" t="str">
        <f t="shared" si="36"/>
        <v>20*</v>
      </c>
      <c r="P420" s="174" t="str">
        <f t="shared" si="36"/>
        <v>20*</v>
      </c>
      <c r="Q420" s="174" t="str">
        <f t="shared" si="36"/>
        <v>25*</v>
      </c>
      <c r="R420" s="174" t="str">
        <f t="shared" si="36"/>
        <v>25*</v>
      </c>
      <c r="S420" s="174" t="str">
        <f t="shared" si="36"/>
        <v>25*</v>
      </c>
      <c r="T420" s="174" t="str">
        <f t="shared" si="36"/>
        <v>45*</v>
      </c>
      <c r="U420" s="174" t="str">
        <f t="shared" si="36"/>
        <v>45*</v>
      </c>
      <c r="V420" s="174" t="str">
        <f t="shared" si="36"/>
        <v>45*</v>
      </c>
      <c r="W420" s="174" t="str">
        <f t="shared" si="36"/>
        <v>45*</v>
      </c>
      <c r="X420" s="174" t="str">
        <f t="shared" si="36"/>
        <v>45*</v>
      </c>
      <c r="Y420" s="174" t="str">
        <f t="shared" si="36"/>
        <v>45*</v>
      </c>
      <c r="AA420" s="174" t="str">
        <f t="shared" si="37"/>
        <v>6/6</v>
      </c>
      <c r="AB420" s="174" t="str">
        <f t="shared" si="37"/>
        <v>6/6</v>
      </c>
      <c r="AC420" s="174" t="str">
        <f t="shared" si="37"/>
        <v>25*</v>
      </c>
      <c r="AD420" s="174" t="str">
        <f t="shared" si="37"/>
        <v>25*</v>
      </c>
      <c r="AF420" s="174" t="str">
        <f t="shared" si="38"/>
        <v>25*</v>
      </c>
      <c r="AG420" s="174" t="str">
        <f t="shared" si="38"/>
        <v>20*</v>
      </c>
      <c r="AH420" s="174" t="str">
        <f t="shared" si="38"/>
        <v>45*</v>
      </c>
      <c r="AJ420" s="174" t="str">
        <f t="shared" si="39"/>
        <v>45*</v>
      </c>
      <c r="AK420" s="174" t="str">
        <f t="shared" si="39"/>
        <v>25*</v>
      </c>
      <c r="AL420" s="174" t="str">
        <f t="shared" si="39"/>
        <v>20*</v>
      </c>
      <c r="AM420" s="174" t="str">
        <f t="shared" si="39"/>
        <v>25*</v>
      </c>
      <c r="AO420" s="174" t="str">
        <f t="shared" si="40"/>
        <v>25*</v>
      </c>
      <c r="AP420" s="174" t="str">
        <f t="shared" si="40"/>
        <v>25*</v>
      </c>
      <c r="AQ420" s="174" t="str">
        <f t="shared" si="40"/>
        <v>45*</v>
      </c>
      <c r="AS420" s="174" t="str">
        <f t="shared" si="41"/>
        <v>20*</v>
      </c>
      <c r="AT420" s="174" t="str">
        <f t="shared" si="41"/>
        <v>20*</v>
      </c>
      <c r="AU420" s="174" t="str">
        <f t="shared" si="41"/>
        <v>20*</v>
      </c>
      <c r="AV420" s="174" t="str">
        <f t="shared" si="41"/>
        <v>20*</v>
      </c>
      <c r="AW420" s="174" t="str">
        <f t="shared" si="41"/>
        <v>20*</v>
      </c>
      <c r="AX420" s="174" t="str">
        <f t="shared" si="41"/>
        <v>20*</v>
      </c>
      <c r="AY420" s="174" t="str">
        <f t="shared" si="41"/>
        <v>20*</v>
      </c>
      <c r="AZ420" s="174" t="str">
        <f t="shared" si="41"/>
        <v>20*</v>
      </c>
      <c r="BA420" s="174" t="str">
        <f t="shared" si="41"/>
        <v>20*</v>
      </c>
      <c r="BB420" s="174" t="str">
        <f t="shared" si="41"/>
        <v>20*</v>
      </c>
      <c r="BC420" s="174" t="str">
        <f t="shared" si="41"/>
        <v>20*</v>
      </c>
      <c r="BD420" s="174" t="str">
        <f t="shared" si="41"/>
        <v>20*</v>
      </c>
      <c r="BE420" s="174" t="str">
        <f t="shared" si="41"/>
        <v>20*</v>
      </c>
      <c r="BF420" s="174" t="str">
        <f t="shared" si="41"/>
        <v>20*</v>
      </c>
      <c r="BG420" s="174" t="str">
        <f t="shared" si="41"/>
        <v>20*</v>
      </c>
      <c r="BH420" s="174" t="str">
        <f t="shared" si="41"/>
        <v>20*</v>
      </c>
      <c r="BI420" s="174" t="str">
        <f t="shared" si="41"/>
        <v>20*</v>
      </c>
      <c r="BJ420" s="174" t="str">
        <f t="shared" si="41"/>
        <v>20*</v>
      </c>
      <c r="BK420" s="174" t="str">
        <f t="shared" si="41"/>
        <v>20*</v>
      </c>
      <c r="BL420" s="174" t="str">
        <f t="shared" si="41"/>
        <v>20*</v>
      </c>
      <c r="BM420" s="174" t="str">
        <f t="shared" si="41"/>
        <v>20*</v>
      </c>
      <c r="BN420" s="174" t="str">
        <f t="shared" si="41"/>
        <v>20*</v>
      </c>
      <c r="BO420" s="174" t="str">
        <f t="shared" si="41"/>
        <v>20*</v>
      </c>
      <c r="BP420" s="174" t="str">
        <f t="shared" si="41"/>
        <v>20*</v>
      </c>
      <c r="BQ420" s="174" t="str">
        <f t="shared" si="41"/>
        <v>20*</v>
      </c>
      <c r="BR420" s="174" t="str">
        <f t="shared" si="41"/>
        <v>20*</v>
      </c>
      <c r="BS420" s="174" t="str">
        <f t="shared" si="41"/>
        <v>20*</v>
      </c>
      <c r="BT420" s="174" t="str">
        <f t="shared" si="41"/>
        <v>20*</v>
      </c>
      <c r="BU420" s="174" t="str">
        <f t="shared" si="41"/>
        <v>20*</v>
      </c>
      <c r="BV420" s="174" t="str">
        <f t="shared" si="41"/>
        <v>20*</v>
      </c>
      <c r="BW420" s="174" t="str">
        <f t="shared" si="41"/>
        <v>20*</v>
      </c>
      <c r="BX420" s="174" t="str">
        <f t="shared" si="41"/>
        <v>20*</v>
      </c>
      <c r="BY420" s="174" t="str">
        <f t="shared" si="41"/>
        <v>20*</v>
      </c>
      <c r="BZ420" s="174" t="str">
        <f t="shared" si="41"/>
        <v>20*</v>
      </c>
      <c r="CA420" s="174" t="str">
        <f t="shared" si="41"/>
        <v>20*</v>
      </c>
      <c r="CB420" s="174" t="str">
        <f t="shared" si="41"/>
        <v>20*</v>
      </c>
      <c r="CC420" s="174" t="str">
        <f t="shared" si="41"/>
        <v>20*</v>
      </c>
      <c r="CD420" s="174" t="str">
        <f t="shared" si="41"/>
        <v>20*</v>
      </c>
      <c r="CE420" s="174" t="str">
        <f t="shared" si="41"/>
        <v>20*</v>
      </c>
      <c r="CF420" s="174" t="str">
        <f t="shared" si="41"/>
        <v>20*</v>
      </c>
      <c r="CG420" s="174" t="str">
        <f t="shared" si="41"/>
        <v>20*</v>
      </c>
      <c r="CH420" s="174" t="str">
        <f t="shared" si="41"/>
        <v>20*</v>
      </c>
      <c r="CI420" s="174" t="str">
        <f t="shared" si="41"/>
        <v>20*</v>
      </c>
      <c r="CJ420" s="174" t="str">
        <f t="shared" si="41"/>
        <v>20*</v>
      </c>
      <c r="CK420" s="174" t="str">
        <f t="shared" si="41"/>
        <v>20*</v>
      </c>
      <c r="CL420" s="174" t="str">
        <f t="shared" si="41"/>
        <v>20*</v>
      </c>
      <c r="CN420" s="174" t="str">
        <f t="shared" si="41"/>
        <v>20*</v>
      </c>
      <c r="CO420" s="174" t="str">
        <f t="shared" si="41"/>
        <v>20*</v>
      </c>
      <c r="CP420" s="174" t="str">
        <f t="shared" si="41"/>
        <v>20*</v>
      </c>
      <c r="CQ420" s="174" t="str">
        <f t="shared" si="41"/>
        <v>20*</v>
      </c>
      <c r="CS420" s="174" t="str">
        <f t="shared" si="42"/>
        <v>110*</v>
      </c>
      <c r="CT420" s="174" t="str">
        <f t="shared" si="42"/>
        <v>100*</v>
      </c>
      <c r="CU420" s="174" t="str">
        <f t="shared" si="42"/>
        <v>85*</v>
      </c>
      <c r="CV420" s="174" t="str">
        <f t="shared" si="42"/>
        <v>90*</v>
      </c>
      <c r="CX420" s="174" t="str">
        <f t="shared" si="43"/>
        <v>45*</v>
      </c>
      <c r="CY420" s="174" t="str">
        <f t="shared" si="43"/>
        <v>25*</v>
      </c>
      <c r="CZ420" s="174" t="str">
        <f t="shared" si="43"/>
        <v>25*</v>
      </c>
      <c r="DA420" s="174" t="str">
        <f t="shared" si="43"/>
        <v>105</v>
      </c>
      <c r="DB420" s="174" t="str">
        <f t="shared" si="43"/>
        <v>20*</v>
      </c>
      <c r="DC420" s="174" t="str">
        <f t="shared" si="43"/>
        <v>20*</v>
      </c>
      <c r="DD420" s="174" t="str">
        <f t="shared" si="43"/>
        <v>20*</v>
      </c>
      <c r="DF420" s="174">
        <v>9</v>
      </c>
    </row>
    <row r="421" spans="5:110" ht="13.35" customHeight="1" x14ac:dyDescent="0.2">
      <c r="E421" s="182" t="s">
        <v>764</v>
      </c>
      <c r="F421" s="174" t="str">
        <f t="shared" ref="F421:Y421" si="44">F37</f>
        <v>120*</v>
      </c>
      <c r="G421" s="174" t="str">
        <f t="shared" si="44"/>
        <v>120*</v>
      </c>
      <c r="H421" s="174" t="str">
        <f t="shared" si="44"/>
        <v>120*</v>
      </c>
      <c r="I421" s="174" t="str">
        <f t="shared" si="44"/>
        <v>120*</v>
      </c>
      <c r="J421" s="174" t="str">
        <f t="shared" si="44"/>
        <v>120*</v>
      </c>
      <c r="K421" s="174" t="str">
        <f t="shared" si="44"/>
        <v>50*</v>
      </c>
      <c r="L421" s="174" t="str">
        <f t="shared" si="44"/>
        <v>50*</v>
      </c>
      <c r="M421" s="174" t="str">
        <f t="shared" si="44"/>
        <v>50*</v>
      </c>
      <c r="N421" s="174" t="str">
        <f t="shared" si="44"/>
        <v>50*</v>
      </c>
      <c r="O421" s="174" t="str">
        <f t="shared" si="44"/>
        <v>50*</v>
      </c>
      <c r="P421" s="174" t="str">
        <f t="shared" si="44"/>
        <v>50*</v>
      </c>
      <c r="Q421" s="174" t="str">
        <f t="shared" si="44"/>
        <v>60*</v>
      </c>
      <c r="R421" s="174" t="str">
        <f t="shared" si="44"/>
        <v>60*</v>
      </c>
      <c r="S421" s="174" t="str">
        <f t="shared" si="44"/>
        <v>60*</v>
      </c>
      <c r="T421" s="174" t="str">
        <f t="shared" si="44"/>
        <v>80*</v>
      </c>
      <c r="U421" s="174" t="str">
        <f t="shared" si="44"/>
        <v>80*</v>
      </c>
      <c r="V421" s="174" t="str">
        <f t="shared" si="44"/>
        <v>80*</v>
      </c>
      <c r="W421" s="174" t="str">
        <f t="shared" si="44"/>
        <v>80*</v>
      </c>
      <c r="X421" s="174" t="str">
        <f t="shared" si="44"/>
        <v>80*</v>
      </c>
      <c r="Y421" s="174" t="str">
        <f t="shared" si="44"/>
        <v>80*</v>
      </c>
      <c r="AA421" s="174" t="str">
        <f>AA37</f>
        <v>10/10</v>
      </c>
      <c r="AB421" s="174" t="str">
        <f>AB37</f>
        <v>10/10</v>
      </c>
      <c r="AC421" s="174" t="str">
        <f>AC37</f>
        <v>60*</v>
      </c>
      <c r="AD421" s="174" t="str">
        <f>AD37</f>
        <v>60*</v>
      </c>
      <c r="AF421" s="174" t="str">
        <f>AF37</f>
        <v>60*</v>
      </c>
      <c r="AG421" s="174" t="str">
        <f>AG37</f>
        <v>50*</v>
      </c>
      <c r="AH421" s="174" t="str">
        <f>AH37</f>
        <v>80*</v>
      </c>
      <c r="AJ421" s="174" t="str">
        <f>AJ37</f>
        <v>80*</v>
      </c>
      <c r="AK421" s="174" t="str">
        <f>AK37</f>
        <v>60*</v>
      </c>
      <c r="AL421" s="174" t="str">
        <f>AL37</f>
        <v>50*</v>
      </c>
      <c r="AM421" s="174" t="str">
        <f>AM37</f>
        <v>60*</v>
      </c>
      <c r="AO421" s="174" t="str">
        <f>AO37</f>
        <v>60*</v>
      </c>
      <c r="AP421" s="174" t="str">
        <f>AP37</f>
        <v>60*</v>
      </c>
      <c r="AQ421" s="174" t="str">
        <f>AQ37</f>
        <v>80*</v>
      </c>
      <c r="AS421" s="174" t="str">
        <f t="shared" ref="AS421:CQ421" si="45">AS37</f>
        <v>50*</v>
      </c>
      <c r="AT421" s="174" t="str">
        <f t="shared" si="45"/>
        <v>50*</v>
      </c>
      <c r="AU421" s="174" t="str">
        <f t="shared" si="45"/>
        <v>50*</v>
      </c>
      <c r="AV421" s="174" t="str">
        <f t="shared" si="45"/>
        <v>50*</v>
      </c>
      <c r="AW421" s="174" t="str">
        <f t="shared" si="45"/>
        <v>50*</v>
      </c>
      <c r="AX421" s="174" t="str">
        <f t="shared" si="45"/>
        <v>50*</v>
      </c>
      <c r="AY421" s="174" t="str">
        <f t="shared" si="45"/>
        <v>50*</v>
      </c>
      <c r="AZ421" s="174" t="str">
        <f t="shared" si="45"/>
        <v>50*</v>
      </c>
      <c r="BA421" s="174" t="str">
        <f t="shared" si="45"/>
        <v>50*</v>
      </c>
      <c r="BB421" s="174" t="str">
        <f t="shared" si="45"/>
        <v>50*</v>
      </c>
      <c r="BC421" s="174" t="str">
        <f t="shared" si="45"/>
        <v>50*</v>
      </c>
      <c r="BD421" s="174" t="str">
        <f t="shared" si="45"/>
        <v>50*</v>
      </c>
      <c r="BE421" s="174" t="str">
        <f t="shared" si="45"/>
        <v>50*</v>
      </c>
      <c r="BF421" s="174" t="str">
        <f t="shared" si="45"/>
        <v>50*</v>
      </c>
      <c r="BG421" s="174" t="str">
        <f t="shared" si="45"/>
        <v>50*</v>
      </c>
      <c r="BH421" s="174" t="str">
        <f t="shared" si="45"/>
        <v>50*</v>
      </c>
      <c r="BI421" s="174" t="str">
        <f t="shared" si="45"/>
        <v>50*</v>
      </c>
      <c r="BJ421" s="174" t="str">
        <f t="shared" si="45"/>
        <v>50*</v>
      </c>
      <c r="BK421" s="174" t="str">
        <f t="shared" si="45"/>
        <v>50*</v>
      </c>
      <c r="BL421" s="174" t="str">
        <f t="shared" si="45"/>
        <v>50*</v>
      </c>
      <c r="BM421" s="174" t="str">
        <f t="shared" si="45"/>
        <v>50*</v>
      </c>
      <c r="BN421" s="174" t="str">
        <f t="shared" si="45"/>
        <v>50*</v>
      </c>
      <c r="BO421" s="174" t="str">
        <f t="shared" si="45"/>
        <v>50*</v>
      </c>
      <c r="BP421" s="174" t="str">
        <f t="shared" si="45"/>
        <v>50*</v>
      </c>
      <c r="BQ421" s="174" t="str">
        <f t="shared" si="45"/>
        <v>50*</v>
      </c>
      <c r="BR421" s="174" t="str">
        <f t="shared" si="45"/>
        <v>50*</v>
      </c>
      <c r="BS421" s="174" t="str">
        <f t="shared" si="45"/>
        <v>50*</v>
      </c>
      <c r="BT421" s="174" t="str">
        <f t="shared" si="45"/>
        <v>50*</v>
      </c>
      <c r="BU421" s="174" t="str">
        <f t="shared" si="45"/>
        <v>50*</v>
      </c>
      <c r="BV421" s="174" t="str">
        <f t="shared" si="45"/>
        <v>50*</v>
      </c>
      <c r="BW421" s="174" t="str">
        <f t="shared" si="45"/>
        <v>50*</v>
      </c>
      <c r="BX421" s="174" t="str">
        <f t="shared" si="45"/>
        <v>50*</v>
      </c>
      <c r="BY421" s="174" t="str">
        <f t="shared" si="45"/>
        <v>50*</v>
      </c>
      <c r="BZ421" s="174" t="str">
        <f t="shared" si="45"/>
        <v>50*</v>
      </c>
      <c r="CA421" s="174" t="str">
        <f t="shared" si="45"/>
        <v>50*</v>
      </c>
      <c r="CB421" s="174" t="str">
        <f t="shared" si="45"/>
        <v>50*</v>
      </c>
      <c r="CC421" s="174" t="str">
        <f t="shared" si="45"/>
        <v>50*</v>
      </c>
      <c r="CD421" s="174" t="str">
        <f t="shared" si="45"/>
        <v>50*</v>
      </c>
      <c r="CE421" s="174" t="str">
        <f t="shared" si="45"/>
        <v>50*</v>
      </c>
      <c r="CF421" s="174" t="str">
        <f t="shared" si="45"/>
        <v>50*</v>
      </c>
      <c r="CG421" s="174" t="str">
        <f t="shared" si="45"/>
        <v>50*</v>
      </c>
      <c r="CH421" s="174" t="str">
        <f t="shared" si="45"/>
        <v>50*</v>
      </c>
      <c r="CI421" s="174" t="str">
        <f t="shared" si="45"/>
        <v>50*</v>
      </c>
      <c r="CJ421" s="174" t="str">
        <f t="shared" si="45"/>
        <v>50*</v>
      </c>
      <c r="CK421" s="174" t="str">
        <f t="shared" si="45"/>
        <v>50*</v>
      </c>
      <c r="CL421" s="174" t="str">
        <f t="shared" si="45"/>
        <v>50*</v>
      </c>
      <c r="CN421" s="174" t="str">
        <f t="shared" si="45"/>
        <v>50*</v>
      </c>
      <c r="CO421" s="174" t="str">
        <f t="shared" si="45"/>
        <v>50*</v>
      </c>
      <c r="CP421" s="174" t="str">
        <f t="shared" si="45"/>
        <v>50*</v>
      </c>
      <c r="CQ421" s="174" t="str">
        <f t="shared" si="45"/>
        <v>50*</v>
      </c>
      <c r="CS421" s="174" t="str">
        <f>CS37</f>
        <v>120*</v>
      </c>
      <c r="CT421" s="174" t="str">
        <f>CT37</f>
        <v>120*</v>
      </c>
      <c r="CU421" s="174" t="str">
        <f>CU37</f>
        <v>110*</v>
      </c>
      <c r="CV421" s="174" t="str">
        <f>CV37</f>
        <v>120*</v>
      </c>
      <c r="CX421" s="174" t="str">
        <f t="shared" ref="CX421:DD421" si="46">CX37</f>
        <v>80*</v>
      </c>
      <c r="CY421" s="174" t="str">
        <f t="shared" si="46"/>
        <v>60*</v>
      </c>
      <c r="CZ421" s="174" t="str">
        <f t="shared" si="46"/>
        <v>60*</v>
      </c>
      <c r="DA421" s="174" t="str">
        <f t="shared" si="46"/>
        <v>120</v>
      </c>
      <c r="DB421" s="174" t="str">
        <f t="shared" si="46"/>
        <v>50*</v>
      </c>
      <c r="DC421" s="174" t="str">
        <f t="shared" si="46"/>
        <v>50*</v>
      </c>
      <c r="DD421" s="174" t="str">
        <f t="shared" si="46"/>
        <v>50*</v>
      </c>
      <c r="DF421" s="174">
        <v>10</v>
      </c>
    </row>
    <row r="428" spans="5:110" ht="13.35" customHeight="1" x14ac:dyDescent="0.2">
      <c r="E428" s="182" t="s">
        <v>755</v>
      </c>
      <c r="K428" s="174">
        <v>5</v>
      </c>
      <c r="L428" s="174">
        <v>5</v>
      </c>
      <c r="M428" s="174">
        <v>5</v>
      </c>
      <c r="N428" s="174">
        <v>5</v>
      </c>
      <c r="O428" s="174">
        <v>5</v>
      </c>
      <c r="P428" s="174">
        <v>5</v>
      </c>
      <c r="Q428" s="174">
        <v>5</v>
      </c>
      <c r="R428" s="174">
        <v>5</v>
      </c>
      <c r="S428" s="174">
        <v>5</v>
      </c>
      <c r="AA428" s="174">
        <v>5</v>
      </c>
      <c r="AB428" s="174">
        <v>5</v>
      </c>
      <c r="AD428" s="174">
        <v>5</v>
      </c>
      <c r="AF428" s="174">
        <v>5</v>
      </c>
      <c r="AG428" s="174">
        <v>5</v>
      </c>
      <c r="AK428" s="174">
        <v>5</v>
      </c>
      <c r="AL428" s="174">
        <v>5</v>
      </c>
      <c r="AM428" s="174">
        <v>5</v>
      </c>
      <c r="AO428" s="174">
        <v>5</v>
      </c>
      <c r="AP428" s="174">
        <v>5</v>
      </c>
      <c r="AS428" s="174">
        <v>5</v>
      </c>
      <c r="AT428" s="174">
        <v>5</v>
      </c>
      <c r="AU428" s="174">
        <v>5</v>
      </c>
      <c r="AV428" s="174">
        <v>5</v>
      </c>
      <c r="AW428" s="174">
        <v>5</v>
      </c>
      <c r="AX428" s="174">
        <v>5</v>
      </c>
      <c r="AY428" s="174">
        <v>5</v>
      </c>
      <c r="AZ428" s="174">
        <v>5</v>
      </c>
      <c r="BA428" s="174">
        <v>5</v>
      </c>
      <c r="BB428" s="174">
        <v>5</v>
      </c>
      <c r="BC428" s="174">
        <v>10</v>
      </c>
      <c r="BD428" s="174">
        <v>10</v>
      </c>
      <c r="BE428" s="174">
        <v>10</v>
      </c>
      <c r="BF428" s="174">
        <v>5</v>
      </c>
      <c r="BG428" s="174">
        <v>10</v>
      </c>
      <c r="BH428" s="174">
        <v>5</v>
      </c>
      <c r="BI428" s="174">
        <v>5</v>
      </c>
      <c r="BJ428" s="174">
        <v>5</v>
      </c>
      <c r="BK428" s="174">
        <v>5</v>
      </c>
      <c r="BL428" s="174">
        <v>5</v>
      </c>
      <c r="BM428" s="174">
        <v>5</v>
      </c>
      <c r="BN428" s="174">
        <v>5</v>
      </c>
      <c r="BO428" s="174">
        <v>5</v>
      </c>
      <c r="BP428" s="174">
        <v>5</v>
      </c>
      <c r="BQ428" s="174">
        <v>5</v>
      </c>
      <c r="BR428" s="174">
        <v>10</v>
      </c>
      <c r="BS428" s="174">
        <v>10</v>
      </c>
      <c r="BT428" s="174">
        <v>10</v>
      </c>
      <c r="BU428" s="174">
        <v>5</v>
      </c>
      <c r="BV428" s="174">
        <v>5</v>
      </c>
      <c r="BX428" s="174">
        <v>5</v>
      </c>
      <c r="BY428" s="174">
        <v>5</v>
      </c>
      <c r="BZ428" s="174">
        <v>5</v>
      </c>
      <c r="CA428" s="174">
        <v>5</v>
      </c>
      <c r="CB428" s="174">
        <v>5</v>
      </c>
      <c r="CC428" s="174">
        <v>5</v>
      </c>
      <c r="CD428" s="174">
        <v>5</v>
      </c>
      <c r="CE428" s="174">
        <v>10</v>
      </c>
      <c r="CF428" s="174">
        <v>5</v>
      </c>
      <c r="CG428" s="174">
        <v>5</v>
      </c>
      <c r="CH428" s="174">
        <v>5</v>
      </c>
      <c r="CI428" s="174">
        <v>5</v>
      </c>
      <c r="CJ428" s="174">
        <v>5</v>
      </c>
      <c r="CK428" s="174">
        <v>5</v>
      </c>
      <c r="CL428" s="174">
        <v>5</v>
      </c>
      <c r="CN428" s="174">
        <v>5</v>
      </c>
      <c r="CO428" s="174">
        <v>5</v>
      </c>
      <c r="CP428" s="174">
        <v>5</v>
      </c>
      <c r="CQ428" s="174">
        <v>5</v>
      </c>
      <c r="CX428" s="174">
        <v>5</v>
      </c>
      <c r="CY428" s="174">
        <v>5</v>
      </c>
      <c r="CZ428" s="174">
        <v>5</v>
      </c>
      <c r="DB428" s="174">
        <v>5</v>
      </c>
      <c r="DC428" s="174">
        <v>5</v>
      </c>
      <c r="DD428" s="174">
        <v>5</v>
      </c>
      <c r="DF428" s="174">
        <v>1</v>
      </c>
    </row>
    <row r="429" spans="5:110" ht="13.35" customHeight="1" x14ac:dyDescent="0.2">
      <c r="E429" s="182" t="s">
        <v>3487</v>
      </c>
      <c r="K429" s="174">
        <v>5</v>
      </c>
      <c r="L429" s="174">
        <v>5</v>
      </c>
      <c r="M429" s="174">
        <v>5</v>
      </c>
      <c r="N429" s="174">
        <v>5</v>
      </c>
      <c r="O429" s="174">
        <v>5</v>
      </c>
      <c r="P429" s="174">
        <v>5</v>
      </c>
      <c r="Q429" s="174">
        <v>5</v>
      </c>
      <c r="R429" s="174">
        <v>5</v>
      </c>
      <c r="S429" s="174">
        <v>5</v>
      </c>
      <c r="AA429" s="174">
        <v>5</v>
      </c>
      <c r="AB429" s="174">
        <v>5</v>
      </c>
      <c r="AD429" s="174">
        <v>5</v>
      </c>
      <c r="AF429" s="174">
        <v>5</v>
      </c>
      <c r="AG429" s="174">
        <v>5</v>
      </c>
      <c r="AK429" s="174">
        <v>5</v>
      </c>
      <c r="AL429" s="174">
        <v>5</v>
      </c>
      <c r="AM429" s="174">
        <v>5</v>
      </c>
      <c r="AO429" s="174">
        <v>5</v>
      </c>
      <c r="AP429" s="174">
        <v>5</v>
      </c>
      <c r="AS429" s="174">
        <v>5</v>
      </c>
      <c r="AT429" s="174">
        <v>5</v>
      </c>
      <c r="AU429" s="174">
        <v>5</v>
      </c>
      <c r="AV429" s="174">
        <v>5</v>
      </c>
      <c r="AW429" s="174">
        <v>5</v>
      </c>
      <c r="AX429" s="174">
        <v>5</v>
      </c>
      <c r="AY429" s="174">
        <v>5</v>
      </c>
      <c r="AZ429" s="174">
        <v>5</v>
      </c>
      <c r="BA429" s="174">
        <v>5</v>
      </c>
      <c r="BB429" s="174">
        <v>5</v>
      </c>
      <c r="BC429" s="174">
        <v>10</v>
      </c>
      <c r="BD429" s="174">
        <v>10</v>
      </c>
      <c r="BE429" s="174">
        <v>10</v>
      </c>
      <c r="BF429" s="174">
        <v>5</v>
      </c>
      <c r="BG429" s="174">
        <v>10</v>
      </c>
      <c r="BH429" s="174">
        <v>5</v>
      </c>
      <c r="BI429" s="174">
        <v>5</v>
      </c>
      <c r="BJ429" s="174">
        <v>5</v>
      </c>
      <c r="BK429" s="174">
        <v>5</v>
      </c>
      <c r="BL429" s="174">
        <v>5</v>
      </c>
      <c r="BM429" s="174">
        <v>5</v>
      </c>
      <c r="BN429" s="174">
        <v>5</v>
      </c>
      <c r="BO429" s="174">
        <v>5</v>
      </c>
      <c r="BP429" s="174">
        <v>5</v>
      </c>
      <c r="BQ429" s="174">
        <v>5</v>
      </c>
      <c r="BR429" s="174">
        <v>10</v>
      </c>
      <c r="BS429" s="174">
        <v>10</v>
      </c>
      <c r="BT429" s="174">
        <v>10</v>
      </c>
      <c r="BU429" s="174">
        <v>5</v>
      </c>
      <c r="BV429" s="174">
        <v>5</v>
      </c>
      <c r="BX429" s="174">
        <v>5</v>
      </c>
      <c r="BY429" s="174">
        <v>5</v>
      </c>
      <c r="BZ429" s="174">
        <v>5</v>
      </c>
      <c r="CA429" s="174">
        <v>5</v>
      </c>
      <c r="CB429" s="174">
        <v>5</v>
      </c>
      <c r="CC429" s="174">
        <v>5</v>
      </c>
      <c r="CD429" s="174">
        <v>5</v>
      </c>
      <c r="CE429" s="174">
        <v>10</v>
      </c>
      <c r="CF429" s="174">
        <v>5</v>
      </c>
      <c r="CG429" s="174">
        <v>5</v>
      </c>
      <c r="CH429" s="174">
        <v>5</v>
      </c>
      <c r="CI429" s="174">
        <v>5</v>
      </c>
      <c r="CJ429" s="174">
        <v>5</v>
      </c>
      <c r="CK429" s="174">
        <v>5</v>
      </c>
      <c r="CL429" s="174">
        <v>5</v>
      </c>
      <c r="CN429" s="174">
        <v>5</v>
      </c>
      <c r="CO429" s="174">
        <v>5</v>
      </c>
      <c r="CP429" s="174">
        <v>5</v>
      </c>
      <c r="CQ429" s="174">
        <v>5</v>
      </c>
      <c r="CX429" s="174">
        <v>5</v>
      </c>
      <c r="CY429" s="174">
        <v>5</v>
      </c>
      <c r="CZ429" s="174">
        <v>5</v>
      </c>
      <c r="DB429" s="174">
        <v>5</v>
      </c>
      <c r="DC429" s="174">
        <v>5</v>
      </c>
      <c r="DD429" s="174">
        <v>5</v>
      </c>
      <c r="DF429" s="174">
        <v>2</v>
      </c>
    </row>
    <row r="430" spans="5:110" ht="13.35" customHeight="1" x14ac:dyDescent="0.2">
      <c r="E430" s="182" t="s">
        <v>3492</v>
      </c>
      <c r="K430" s="174">
        <v>5</v>
      </c>
      <c r="L430" s="174">
        <v>5</v>
      </c>
      <c r="M430" s="174">
        <v>5</v>
      </c>
      <c r="N430" s="174">
        <v>5</v>
      </c>
      <c r="O430" s="174">
        <v>5</v>
      </c>
      <c r="P430" s="174">
        <v>5</v>
      </c>
      <c r="Q430" s="174">
        <v>5</v>
      </c>
      <c r="R430" s="174">
        <v>5</v>
      </c>
      <c r="S430" s="174">
        <v>5</v>
      </c>
      <c r="AA430" s="174">
        <v>5</v>
      </c>
      <c r="AB430" s="174">
        <v>5</v>
      </c>
      <c r="AD430" s="174">
        <v>5</v>
      </c>
      <c r="AF430" s="174">
        <v>5</v>
      </c>
      <c r="AG430" s="174">
        <v>5</v>
      </c>
      <c r="AK430" s="174">
        <v>5</v>
      </c>
      <c r="AL430" s="174">
        <v>5</v>
      </c>
      <c r="AM430" s="174">
        <v>5</v>
      </c>
      <c r="AO430" s="174">
        <v>5</v>
      </c>
      <c r="AP430" s="174">
        <v>5</v>
      </c>
      <c r="AS430" s="174">
        <v>5</v>
      </c>
      <c r="AT430" s="174">
        <v>5</v>
      </c>
      <c r="AU430" s="174">
        <v>5</v>
      </c>
      <c r="AV430" s="174">
        <v>5</v>
      </c>
      <c r="AW430" s="174">
        <v>5</v>
      </c>
      <c r="AX430" s="174">
        <v>5</v>
      </c>
      <c r="AY430" s="174">
        <v>5</v>
      </c>
      <c r="AZ430" s="174">
        <v>5</v>
      </c>
      <c r="BA430" s="174">
        <v>5</v>
      </c>
      <c r="BB430" s="174">
        <v>5</v>
      </c>
      <c r="BC430" s="174">
        <v>10</v>
      </c>
      <c r="BD430" s="174">
        <v>10</v>
      </c>
      <c r="BE430" s="174">
        <v>10</v>
      </c>
      <c r="BF430" s="174">
        <v>5</v>
      </c>
      <c r="BG430" s="174">
        <v>10</v>
      </c>
      <c r="BH430" s="174">
        <v>5</v>
      </c>
      <c r="BI430" s="174">
        <v>5</v>
      </c>
      <c r="BJ430" s="174">
        <v>5</v>
      </c>
      <c r="BK430" s="174">
        <v>5</v>
      </c>
      <c r="BL430" s="174">
        <v>5</v>
      </c>
      <c r="BM430" s="174">
        <v>5</v>
      </c>
      <c r="BN430" s="174">
        <v>5</v>
      </c>
      <c r="BO430" s="174">
        <v>5</v>
      </c>
      <c r="BP430" s="174">
        <v>5</v>
      </c>
      <c r="BQ430" s="174">
        <v>5</v>
      </c>
      <c r="BR430" s="174">
        <v>10</v>
      </c>
      <c r="BS430" s="174">
        <v>10</v>
      </c>
      <c r="BT430" s="174">
        <v>10</v>
      </c>
      <c r="BU430" s="174">
        <v>5</v>
      </c>
      <c r="BV430" s="174">
        <v>5</v>
      </c>
      <c r="BX430" s="174">
        <v>5</v>
      </c>
      <c r="BY430" s="174">
        <v>5</v>
      </c>
      <c r="BZ430" s="174">
        <v>5</v>
      </c>
      <c r="CA430" s="174">
        <v>5</v>
      </c>
      <c r="CB430" s="174">
        <v>5</v>
      </c>
      <c r="CC430" s="174">
        <v>5</v>
      </c>
      <c r="CD430" s="174">
        <v>5</v>
      </c>
      <c r="CE430" s="174">
        <v>10</v>
      </c>
      <c r="CF430" s="174">
        <v>5</v>
      </c>
      <c r="CG430" s="174">
        <v>5</v>
      </c>
      <c r="CH430" s="174">
        <v>5</v>
      </c>
      <c r="CI430" s="174">
        <v>5</v>
      </c>
      <c r="CJ430" s="174">
        <v>5</v>
      </c>
      <c r="CK430" s="174">
        <v>5</v>
      </c>
      <c r="CL430" s="174">
        <v>5</v>
      </c>
      <c r="CN430" s="174">
        <v>5</v>
      </c>
      <c r="CO430" s="174">
        <v>5</v>
      </c>
      <c r="CP430" s="174">
        <v>5</v>
      </c>
      <c r="CQ430" s="174">
        <v>5</v>
      </c>
      <c r="CX430" s="174">
        <v>5</v>
      </c>
      <c r="CY430" s="174">
        <v>5</v>
      </c>
      <c r="CZ430" s="174">
        <v>5</v>
      </c>
      <c r="DB430" s="174">
        <v>5</v>
      </c>
      <c r="DC430" s="174">
        <v>5</v>
      </c>
      <c r="DD430" s="174">
        <v>5</v>
      </c>
      <c r="DF430" s="174">
        <v>3</v>
      </c>
    </row>
    <row r="431" spans="5:110" ht="13.35" customHeight="1" x14ac:dyDescent="0.2">
      <c r="E431" s="182" t="s">
        <v>758</v>
      </c>
      <c r="K431" s="174">
        <v>5</v>
      </c>
      <c r="L431" s="174">
        <v>5</v>
      </c>
      <c r="M431" s="174">
        <v>5</v>
      </c>
      <c r="N431" s="174">
        <v>5</v>
      </c>
      <c r="O431" s="174">
        <v>5</v>
      </c>
      <c r="P431" s="174">
        <v>5</v>
      </c>
      <c r="Q431" s="174">
        <v>5</v>
      </c>
      <c r="R431" s="174">
        <v>5</v>
      </c>
      <c r="S431" s="174">
        <v>5</v>
      </c>
      <c r="AA431" s="174">
        <v>5</v>
      </c>
      <c r="AB431" s="174">
        <v>5</v>
      </c>
      <c r="AD431" s="174">
        <v>5</v>
      </c>
      <c r="AF431" s="174">
        <v>5</v>
      </c>
      <c r="AG431" s="174">
        <v>5</v>
      </c>
      <c r="AK431" s="174">
        <v>5</v>
      </c>
      <c r="AL431" s="174">
        <v>5</v>
      </c>
      <c r="AM431" s="174">
        <v>5</v>
      </c>
      <c r="AO431" s="174">
        <v>5</v>
      </c>
      <c r="AP431" s="174">
        <v>5</v>
      </c>
      <c r="AS431" s="174">
        <v>5</v>
      </c>
      <c r="AT431" s="174">
        <v>5</v>
      </c>
      <c r="AU431" s="174">
        <v>5</v>
      </c>
      <c r="AV431" s="174">
        <v>5</v>
      </c>
      <c r="AW431" s="174">
        <v>5</v>
      </c>
      <c r="AX431" s="174">
        <v>5</v>
      </c>
      <c r="AY431" s="174">
        <v>5</v>
      </c>
      <c r="AZ431" s="174">
        <v>5</v>
      </c>
      <c r="BA431" s="174">
        <v>5</v>
      </c>
      <c r="BB431" s="174">
        <v>5</v>
      </c>
      <c r="BC431" s="174">
        <v>10</v>
      </c>
      <c r="BD431" s="174">
        <v>10</v>
      </c>
      <c r="BE431" s="174">
        <v>10</v>
      </c>
      <c r="BF431" s="174">
        <v>5</v>
      </c>
      <c r="BG431" s="174">
        <v>10</v>
      </c>
      <c r="BH431" s="174">
        <v>5</v>
      </c>
      <c r="BI431" s="174">
        <v>5</v>
      </c>
      <c r="BJ431" s="174">
        <v>5</v>
      </c>
      <c r="BK431" s="174">
        <v>5</v>
      </c>
      <c r="BL431" s="174">
        <v>5</v>
      </c>
      <c r="BM431" s="174">
        <v>5</v>
      </c>
      <c r="BN431" s="174">
        <v>5</v>
      </c>
      <c r="BO431" s="174">
        <v>5</v>
      </c>
      <c r="BP431" s="174">
        <v>5</v>
      </c>
      <c r="BQ431" s="174">
        <v>5</v>
      </c>
      <c r="BR431" s="174">
        <v>10</v>
      </c>
      <c r="BS431" s="174">
        <v>10</v>
      </c>
      <c r="BT431" s="174">
        <v>10</v>
      </c>
      <c r="BU431" s="174">
        <v>5</v>
      </c>
      <c r="BV431" s="174">
        <v>5</v>
      </c>
      <c r="BX431" s="174">
        <v>5</v>
      </c>
      <c r="BY431" s="174">
        <v>5</v>
      </c>
      <c r="BZ431" s="174">
        <v>5</v>
      </c>
      <c r="CA431" s="174">
        <v>5</v>
      </c>
      <c r="CB431" s="174">
        <v>5</v>
      </c>
      <c r="CC431" s="174">
        <v>5</v>
      </c>
      <c r="CD431" s="174">
        <v>5</v>
      </c>
      <c r="CE431" s="174">
        <v>10</v>
      </c>
      <c r="CF431" s="174">
        <v>5</v>
      </c>
      <c r="CG431" s="174">
        <v>5</v>
      </c>
      <c r="CH431" s="174">
        <v>5</v>
      </c>
      <c r="CI431" s="174">
        <v>5</v>
      </c>
      <c r="CJ431" s="174">
        <v>5</v>
      </c>
      <c r="CK431" s="174">
        <v>5</v>
      </c>
      <c r="CL431" s="174">
        <v>5</v>
      </c>
      <c r="CN431" s="174">
        <v>5</v>
      </c>
      <c r="CO431" s="174">
        <v>5</v>
      </c>
      <c r="CP431" s="174">
        <v>5</v>
      </c>
      <c r="CQ431" s="174">
        <v>5</v>
      </c>
      <c r="CX431" s="174">
        <v>5</v>
      </c>
      <c r="CY431" s="174">
        <v>5</v>
      </c>
      <c r="CZ431" s="174">
        <v>5</v>
      </c>
      <c r="DB431" s="174">
        <v>5</v>
      </c>
      <c r="DC431" s="174">
        <v>5</v>
      </c>
      <c r="DD431" s="174">
        <v>5</v>
      </c>
      <c r="DF431" s="174">
        <v>4</v>
      </c>
    </row>
    <row r="432" spans="5:110" ht="13.35" customHeight="1" x14ac:dyDescent="0.2">
      <c r="E432" s="182" t="s">
        <v>760</v>
      </c>
      <c r="K432" s="174">
        <v>5</v>
      </c>
      <c r="L432" s="174">
        <v>5</v>
      </c>
      <c r="M432" s="174">
        <v>5</v>
      </c>
      <c r="N432" s="174">
        <v>5</v>
      </c>
      <c r="O432" s="174">
        <v>5</v>
      </c>
      <c r="P432" s="174">
        <v>5</v>
      </c>
      <c r="Q432" s="174">
        <v>5</v>
      </c>
      <c r="R432" s="174">
        <v>5</v>
      </c>
      <c r="S432" s="174">
        <v>5</v>
      </c>
      <c r="AA432" s="174">
        <v>5</v>
      </c>
      <c r="AB432" s="174">
        <v>5</v>
      </c>
      <c r="AD432" s="174">
        <v>5</v>
      </c>
      <c r="AF432" s="174">
        <v>5</v>
      </c>
      <c r="AG432" s="174">
        <v>5</v>
      </c>
      <c r="AK432" s="174">
        <v>5</v>
      </c>
      <c r="AL432" s="174">
        <v>5</v>
      </c>
      <c r="AM432" s="174">
        <v>5</v>
      </c>
      <c r="AO432" s="174">
        <v>5</v>
      </c>
      <c r="AP432" s="174">
        <v>5</v>
      </c>
      <c r="AS432" s="174">
        <v>5</v>
      </c>
      <c r="AT432" s="174">
        <v>5</v>
      </c>
      <c r="AU432" s="174">
        <v>5</v>
      </c>
      <c r="AV432" s="174">
        <v>5</v>
      </c>
      <c r="AW432" s="174">
        <v>5</v>
      </c>
      <c r="AX432" s="174">
        <v>5</v>
      </c>
      <c r="AY432" s="174">
        <v>5</v>
      </c>
      <c r="AZ432" s="174">
        <v>5</v>
      </c>
      <c r="BA432" s="174">
        <v>5</v>
      </c>
      <c r="BB432" s="174">
        <v>5</v>
      </c>
      <c r="BC432" s="174">
        <v>10</v>
      </c>
      <c r="BD432" s="174">
        <v>10</v>
      </c>
      <c r="BE432" s="174">
        <v>10</v>
      </c>
      <c r="BF432" s="174">
        <v>5</v>
      </c>
      <c r="BG432" s="174">
        <v>10</v>
      </c>
      <c r="BH432" s="174">
        <v>5</v>
      </c>
      <c r="BI432" s="174">
        <v>5</v>
      </c>
      <c r="BJ432" s="174">
        <v>5</v>
      </c>
      <c r="BK432" s="174">
        <v>5</v>
      </c>
      <c r="BL432" s="174">
        <v>5</v>
      </c>
      <c r="BM432" s="174">
        <v>5</v>
      </c>
      <c r="BN432" s="174">
        <v>5</v>
      </c>
      <c r="BO432" s="174">
        <v>5</v>
      </c>
      <c r="BP432" s="174">
        <v>5</v>
      </c>
      <c r="BQ432" s="174">
        <v>5</v>
      </c>
      <c r="BR432" s="174">
        <v>10</v>
      </c>
      <c r="BS432" s="174">
        <v>10</v>
      </c>
      <c r="BT432" s="174">
        <v>10</v>
      </c>
      <c r="BU432" s="174">
        <v>5</v>
      </c>
      <c r="BV432" s="174">
        <v>5</v>
      </c>
      <c r="BX432" s="174">
        <v>5</v>
      </c>
      <c r="BY432" s="174">
        <v>5</v>
      </c>
      <c r="BZ432" s="174">
        <v>5</v>
      </c>
      <c r="CA432" s="174">
        <v>5</v>
      </c>
      <c r="CB432" s="174">
        <v>5</v>
      </c>
      <c r="CC432" s="174">
        <v>5</v>
      </c>
      <c r="CD432" s="174">
        <v>5</v>
      </c>
      <c r="CE432" s="174">
        <v>10</v>
      </c>
      <c r="CF432" s="174">
        <v>5</v>
      </c>
      <c r="CG432" s="174">
        <v>5</v>
      </c>
      <c r="CH432" s="174">
        <v>5</v>
      </c>
      <c r="CI432" s="174">
        <v>5</v>
      </c>
      <c r="CJ432" s="174">
        <v>5</v>
      </c>
      <c r="CK432" s="174">
        <v>5</v>
      </c>
      <c r="CL432" s="174">
        <v>5</v>
      </c>
      <c r="CN432" s="174">
        <v>5</v>
      </c>
      <c r="CO432" s="174">
        <v>5</v>
      </c>
      <c r="CP432" s="174">
        <v>5</v>
      </c>
      <c r="CQ432" s="174">
        <v>5</v>
      </c>
      <c r="CX432" s="174">
        <v>5</v>
      </c>
      <c r="CY432" s="174">
        <v>5</v>
      </c>
      <c r="CZ432" s="174">
        <v>5</v>
      </c>
      <c r="DB432" s="174">
        <v>5</v>
      </c>
      <c r="DC432" s="174">
        <v>5</v>
      </c>
      <c r="DD432" s="174">
        <v>5</v>
      </c>
      <c r="DF432" s="174">
        <v>5</v>
      </c>
    </row>
    <row r="433" spans="5:110" ht="13.35" customHeight="1" x14ac:dyDescent="0.2">
      <c r="E433" s="182" t="s">
        <v>761</v>
      </c>
      <c r="K433" s="174">
        <v>5</v>
      </c>
      <c r="L433" s="174">
        <v>5</v>
      </c>
      <c r="M433" s="174">
        <v>5</v>
      </c>
      <c r="N433" s="174">
        <v>5</v>
      </c>
      <c r="O433" s="174">
        <v>5</v>
      </c>
      <c r="P433" s="174">
        <v>5</v>
      </c>
      <c r="Q433" s="174">
        <v>5</v>
      </c>
      <c r="R433" s="174">
        <v>5</v>
      </c>
      <c r="S433" s="174">
        <v>5</v>
      </c>
      <c r="AA433" s="174">
        <v>5</v>
      </c>
      <c r="AB433" s="174">
        <v>5</v>
      </c>
      <c r="AD433" s="174">
        <v>5</v>
      </c>
      <c r="AF433" s="174">
        <v>5</v>
      </c>
      <c r="AG433" s="174">
        <v>5</v>
      </c>
      <c r="AK433" s="174">
        <v>5</v>
      </c>
      <c r="AL433" s="174">
        <v>5</v>
      </c>
      <c r="AM433" s="174">
        <v>5</v>
      </c>
      <c r="AO433" s="174">
        <v>5</v>
      </c>
      <c r="AP433" s="174">
        <v>5</v>
      </c>
      <c r="AS433" s="174">
        <v>5</v>
      </c>
      <c r="AT433" s="174">
        <v>5</v>
      </c>
      <c r="AU433" s="174">
        <v>5</v>
      </c>
      <c r="AV433" s="174">
        <v>5</v>
      </c>
      <c r="AW433" s="174">
        <v>5</v>
      </c>
      <c r="AX433" s="174">
        <v>5</v>
      </c>
      <c r="AY433" s="174">
        <v>5</v>
      </c>
      <c r="AZ433" s="174">
        <v>5</v>
      </c>
      <c r="BA433" s="174">
        <v>5</v>
      </c>
      <c r="BB433" s="174">
        <v>5</v>
      </c>
      <c r="BC433" s="174">
        <v>10</v>
      </c>
      <c r="BD433" s="174">
        <v>10</v>
      </c>
      <c r="BE433" s="174">
        <v>10</v>
      </c>
      <c r="BF433" s="174">
        <v>5</v>
      </c>
      <c r="BG433" s="174">
        <v>10</v>
      </c>
      <c r="BH433" s="174">
        <v>5</v>
      </c>
      <c r="BI433" s="174">
        <v>5</v>
      </c>
      <c r="BJ433" s="174">
        <v>5</v>
      </c>
      <c r="BK433" s="174">
        <v>5</v>
      </c>
      <c r="BL433" s="174">
        <v>5</v>
      </c>
      <c r="BM433" s="174">
        <v>5</v>
      </c>
      <c r="BN433" s="174">
        <v>5</v>
      </c>
      <c r="BO433" s="174">
        <v>5</v>
      </c>
      <c r="BP433" s="174">
        <v>5</v>
      </c>
      <c r="BQ433" s="174">
        <v>5</v>
      </c>
      <c r="BR433" s="174">
        <v>10</v>
      </c>
      <c r="BS433" s="174">
        <v>10</v>
      </c>
      <c r="BT433" s="174">
        <v>10</v>
      </c>
      <c r="BU433" s="174">
        <v>5</v>
      </c>
      <c r="BV433" s="174">
        <v>5</v>
      </c>
      <c r="BX433" s="174">
        <v>5</v>
      </c>
      <c r="BY433" s="174">
        <v>5</v>
      </c>
      <c r="BZ433" s="174">
        <v>5</v>
      </c>
      <c r="CA433" s="174">
        <v>5</v>
      </c>
      <c r="CB433" s="174">
        <v>5</v>
      </c>
      <c r="CC433" s="174">
        <v>5</v>
      </c>
      <c r="CD433" s="174">
        <v>5</v>
      </c>
      <c r="CE433" s="174">
        <v>10</v>
      </c>
      <c r="CF433" s="174">
        <v>5</v>
      </c>
      <c r="CG433" s="174">
        <v>5</v>
      </c>
      <c r="CH433" s="174">
        <v>5</v>
      </c>
      <c r="CI433" s="174">
        <v>5</v>
      </c>
      <c r="CJ433" s="174">
        <v>5</v>
      </c>
      <c r="CK433" s="174">
        <v>5</v>
      </c>
      <c r="CL433" s="174">
        <v>5</v>
      </c>
      <c r="CN433" s="174">
        <v>5</v>
      </c>
      <c r="CO433" s="174">
        <v>5</v>
      </c>
      <c r="CP433" s="174">
        <v>5</v>
      </c>
      <c r="CQ433" s="174">
        <v>5</v>
      </c>
      <c r="CX433" s="174">
        <v>5</v>
      </c>
      <c r="CY433" s="174">
        <v>5</v>
      </c>
      <c r="CZ433" s="174">
        <v>5</v>
      </c>
      <c r="DB433" s="174">
        <v>5</v>
      </c>
      <c r="DC433" s="174">
        <v>5</v>
      </c>
      <c r="DD433" s="174">
        <v>5</v>
      </c>
      <c r="DF433" s="174">
        <v>6</v>
      </c>
    </row>
    <row r="434" spans="5:110" ht="13.35" customHeight="1" x14ac:dyDescent="0.2">
      <c r="E434" s="182" t="s">
        <v>762</v>
      </c>
      <c r="K434" s="174">
        <v>5</v>
      </c>
      <c r="L434" s="174">
        <v>5</v>
      </c>
      <c r="M434" s="174">
        <v>5</v>
      </c>
      <c r="N434" s="174">
        <v>5</v>
      </c>
      <c r="O434" s="174">
        <v>5</v>
      </c>
      <c r="P434" s="174">
        <v>5</v>
      </c>
      <c r="Q434" s="174">
        <v>5</v>
      </c>
      <c r="R434" s="174">
        <v>5</v>
      </c>
      <c r="S434" s="174">
        <v>5</v>
      </c>
      <c r="AA434" s="174">
        <v>5</v>
      </c>
      <c r="AB434" s="174">
        <v>5</v>
      </c>
      <c r="AD434" s="174">
        <v>5</v>
      </c>
      <c r="AF434" s="174">
        <v>5</v>
      </c>
      <c r="AG434" s="174">
        <v>5</v>
      </c>
      <c r="AK434" s="174">
        <v>5</v>
      </c>
      <c r="AL434" s="174">
        <v>5</v>
      </c>
      <c r="AM434" s="174">
        <v>5</v>
      </c>
      <c r="AO434" s="174">
        <v>5</v>
      </c>
      <c r="AP434" s="174">
        <v>5</v>
      </c>
      <c r="AS434" s="174">
        <v>5</v>
      </c>
      <c r="AT434" s="174">
        <v>5</v>
      </c>
      <c r="AU434" s="174">
        <v>5</v>
      </c>
      <c r="AV434" s="174">
        <v>5</v>
      </c>
      <c r="AW434" s="174">
        <v>5</v>
      </c>
      <c r="AX434" s="174">
        <v>5</v>
      </c>
      <c r="AY434" s="174">
        <v>5</v>
      </c>
      <c r="AZ434" s="174">
        <v>5</v>
      </c>
      <c r="BA434" s="174">
        <v>5</v>
      </c>
      <c r="BB434" s="174">
        <v>5</v>
      </c>
      <c r="BC434" s="174">
        <v>10</v>
      </c>
      <c r="BD434" s="174">
        <v>10</v>
      </c>
      <c r="BE434" s="174">
        <v>10</v>
      </c>
      <c r="BF434" s="174">
        <v>5</v>
      </c>
      <c r="BG434" s="174">
        <v>10</v>
      </c>
      <c r="BH434" s="174">
        <v>5</v>
      </c>
      <c r="BI434" s="174">
        <v>5</v>
      </c>
      <c r="BJ434" s="174">
        <v>5</v>
      </c>
      <c r="BK434" s="174">
        <v>5</v>
      </c>
      <c r="BL434" s="174">
        <v>5</v>
      </c>
      <c r="BM434" s="174">
        <v>5</v>
      </c>
      <c r="BN434" s="174">
        <v>5</v>
      </c>
      <c r="BO434" s="174">
        <v>5</v>
      </c>
      <c r="BP434" s="174">
        <v>5</v>
      </c>
      <c r="BQ434" s="174">
        <v>5</v>
      </c>
      <c r="BR434" s="174">
        <v>10</v>
      </c>
      <c r="BS434" s="174">
        <v>10</v>
      </c>
      <c r="BT434" s="174">
        <v>10</v>
      </c>
      <c r="BU434" s="174">
        <v>5</v>
      </c>
      <c r="BV434" s="174">
        <v>5</v>
      </c>
      <c r="BX434" s="174">
        <v>5</v>
      </c>
      <c r="BY434" s="174">
        <v>5</v>
      </c>
      <c r="BZ434" s="174">
        <v>5</v>
      </c>
      <c r="CA434" s="174">
        <v>5</v>
      </c>
      <c r="CB434" s="174">
        <v>5</v>
      </c>
      <c r="CC434" s="174">
        <v>5</v>
      </c>
      <c r="CD434" s="174">
        <v>5</v>
      </c>
      <c r="CE434" s="174">
        <v>10</v>
      </c>
      <c r="CF434" s="174">
        <v>5</v>
      </c>
      <c r="CG434" s="174">
        <v>5</v>
      </c>
      <c r="CH434" s="174">
        <v>5</v>
      </c>
      <c r="CI434" s="174">
        <v>5</v>
      </c>
      <c r="CJ434" s="174">
        <v>5</v>
      </c>
      <c r="CK434" s="174">
        <v>5</v>
      </c>
      <c r="CL434" s="174">
        <v>5</v>
      </c>
      <c r="CN434" s="174">
        <v>5</v>
      </c>
      <c r="CO434" s="174">
        <v>5</v>
      </c>
      <c r="CP434" s="174">
        <v>5</v>
      </c>
      <c r="CQ434" s="174">
        <v>5</v>
      </c>
      <c r="CX434" s="174">
        <v>5</v>
      </c>
      <c r="CY434" s="174">
        <v>5</v>
      </c>
      <c r="CZ434" s="174">
        <v>5</v>
      </c>
      <c r="DB434" s="174">
        <v>5</v>
      </c>
      <c r="DC434" s="174">
        <v>5</v>
      </c>
      <c r="DD434" s="174">
        <v>5</v>
      </c>
      <c r="DF434" s="174">
        <v>7</v>
      </c>
    </row>
    <row r="435" spans="5:110" ht="13.35" customHeight="1" x14ac:dyDescent="0.2">
      <c r="E435" s="182" t="s">
        <v>763</v>
      </c>
      <c r="K435" s="174">
        <v>5</v>
      </c>
      <c r="L435" s="174">
        <v>5</v>
      </c>
      <c r="M435" s="174">
        <v>5</v>
      </c>
      <c r="N435" s="174">
        <v>5</v>
      </c>
      <c r="O435" s="174">
        <v>5</v>
      </c>
      <c r="P435" s="174">
        <v>5</v>
      </c>
      <c r="Q435" s="174">
        <v>5</v>
      </c>
      <c r="R435" s="174">
        <v>5</v>
      </c>
      <c r="S435" s="174">
        <v>5</v>
      </c>
      <c r="AA435" s="174">
        <v>5</v>
      </c>
      <c r="AB435" s="174">
        <v>5</v>
      </c>
      <c r="AD435" s="174">
        <v>5</v>
      </c>
      <c r="AF435" s="174">
        <v>5</v>
      </c>
      <c r="AG435" s="174">
        <v>5</v>
      </c>
      <c r="AK435" s="174">
        <v>5</v>
      </c>
      <c r="AL435" s="174">
        <v>5</v>
      </c>
      <c r="AM435" s="174">
        <v>5</v>
      </c>
      <c r="AO435" s="174">
        <v>5</v>
      </c>
      <c r="AP435" s="174">
        <v>5</v>
      </c>
      <c r="AS435" s="174">
        <v>5</v>
      </c>
      <c r="AT435" s="174">
        <v>5</v>
      </c>
      <c r="AU435" s="174">
        <v>5</v>
      </c>
      <c r="AV435" s="174">
        <v>5</v>
      </c>
      <c r="AW435" s="174">
        <v>5</v>
      </c>
      <c r="AX435" s="174">
        <v>5</v>
      </c>
      <c r="AY435" s="174">
        <v>5</v>
      </c>
      <c r="AZ435" s="174">
        <v>5</v>
      </c>
      <c r="BA435" s="174">
        <v>5</v>
      </c>
      <c r="BB435" s="174">
        <v>5</v>
      </c>
      <c r="BC435" s="174">
        <v>10</v>
      </c>
      <c r="BD435" s="174">
        <v>10</v>
      </c>
      <c r="BE435" s="174">
        <v>10</v>
      </c>
      <c r="BF435" s="174">
        <v>5</v>
      </c>
      <c r="BG435" s="174">
        <v>10</v>
      </c>
      <c r="BH435" s="174">
        <v>5</v>
      </c>
      <c r="BI435" s="174">
        <v>5</v>
      </c>
      <c r="BJ435" s="174">
        <v>5</v>
      </c>
      <c r="BK435" s="174">
        <v>5</v>
      </c>
      <c r="BL435" s="174">
        <v>5</v>
      </c>
      <c r="BM435" s="174">
        <v>5</v>
      </c>
      <c r="BN435" s="174">
        <v>5</v>
      </c>
      <c r="BO435" s="174">
        <v>5</v>
      </c>
      <c r="BP435" s="174">
        <v>5</v>
      </c>
      <c r="BQ435" s="174">
        <v>5</v>
      </c>
      <c r="BR435" s="174">
        <v>10</v>
      </c>
      <c r="BS435" s="174">
        <v>10</v>
      </c>
      <c r="BT435" s="174">
        <v>10</v>
      </c>
      <c r="BU435" s="174">
        <v>5</v>
      </c>
      <c r="BV435" s="174">
        <v>5</v>
      </c>
      <c r="BX435" s="174">
        <v>5</v>
      </c>
      <c r="BY435" s="174">
        <v>5</v>
      </c>
      <c r="BZ435" s="174">
        <v>5</v>
      </c>
      <c r="CA435" s="174">
        <v>5</v>
      </c>
      <c r="CB435" s="174">
        <v>5</v>
      </c>
      <c r="CC435" s="174">
        <v>5</v>
      </c>
      <c r="CD435" s="174">
        <v>5</v>
      </c>
      <c r="CE435" s="174">
        <v>10</v>
      </c>
      <c r="CF435" s="174">
        <v>5</v>
      </c>
      <c r="CG435" s="174">
        <v>5</v>
      </c>
      <c r="CH435" s="174">
        <v>5</v>
      </c>
      <c r="CI435" s="174">
        <v>5</v>
      </c>
      <c r="CJ435" s="174">
        <v>5</v>
      </c>
      <c r="CK435" s="174">
        <v>5</v>
      </c>
      <c r="CL435" s="174">
        <v>5</v>
      </c>
      <c r="CN435" s="174">
        <v>5</v>
      </c>
      <c r="CO435" s="174">
        <v>5</v>
      </c>
      <c r="CP435" s="174">
        <v>5</v>
      </c>
      <c r="CQ435" s="174">
        <v>5</v>
      </c>
      <c r="CX435" s="174">
        <v>5</v>
      </c>
      <c r="CY435" s="174">
        <v>5</v>
      </c>
      <c r="CZ435" s="174">
        <v>5</v>
      </c>
      <c r="DB435" s="174">
        <v>5</v>
      </c>
      <c r="DC435" s="174">
        <v>5</v>
      </c>
      <c r="DD435" s="174">
        <v>5</v>
      </c>
      <c r="DF435" s="174">
        <v>8</v>
      </c>
    </row>
    <row r="436" spans="5:110" ht="13.35" customHeight="1" x14ac:dyDescent="0.2">
      <c r="E436" s="182" t="s">
        <v>764</v>
      </c>
      <c r="K436" s="174">
        <v>5</v>
      </c>
      <c r="L436" s="174">
        <v>5</v>
      </c>
      <c r="M436" s="174">
        <v>5</v>
      </c>
      <c r="N436" s="174">
        <v>5</v>
      </c>
      <c r="O436" s="174">
        <v>5</v>
      </c>
      <c r="P436" s="174">
        <v>5</v>
      </c>
      <c r="Q436" s="174">
        <v>5</v>
      </c>
      <c r="R436" s="174">
        <v>5</v>
      </c>
      <c r="S436" s="174">
        <v>5</v>
      </c>
      <c r="AA436" s="174">
        <v>5</v>
      </c>
      <c r="AB436" s="174">
        <v>5</v>
      </c>
      <c r="AD436" s="174">
        <v>5</v>
      </c>
      <c r="AF436" s="174">
        <v>5</v>
      </c>
      <c r="AG436" s="174">
        <v>5</v>
      </c>
      <c r="AK436" s="174">
        <v>5</v>
      </c>
      <c r="AL436" s="174">
        <v>5</v>
      </c>
      <c r="AM436" s="174">
        <v>5</v>
      </c>
      <c r="AO436" s="174">
        <v>5</v>
      </c>
      <c r="AP436" s="174">
        <v>5</v>
      </c>
      <c r="AS436" s="174">
        <v>5</v>
      </c>
      <c r="AT436" s="174">
        <v>5</v>
      </c>
      <c r="AU436" s="174">
        <v>5</v>
      </c>
      <c r="AV436" s="174">
        <v>5</v>
      </c>
      <c r="AW436" s="174">
        <v>5</v>
      </c>
      <c r="AX436" s="174">
        <v>5</v>
      </c>
      <c r="AY436" s="174">
        <v>5</v>
      </c>
      <c r="AZ436" s="174">
        <v>5</v>
      </c>
      <c r="BA436" s="174">
        <v>5</v>
      </c>
      <c r="BB436" s="174">
        <v>5</v>
      </c>
      <c r="BC436" s="174">
        <v>10</v>
      </c>
      <c r="BD436" s="174">
        <v>10</v>
      </c>
      <c r="BE436" s="174">
        <v>10</v>
      </c>
      <c r="BF436" s="174">
        <v>5</v>
      </c>
      <c r="BG436" s="174">
        <v>10</v>
      </c>
      <c r="BH436" s="174">
        <v>5</v>
      </c>
      <c r="BI436" s="174">
        <v>5</v>
      </c>
      <c r="BJ436" s="174">
        <v>5</v>
      </c>
      <c r="BK436" s="174">
        <v>5</v>
      </c>
      <c r="BL436" s="174">
        <v>5</v>
      </c>
      <c r="BM436" s="174">
        <v>5</v>
      </c>
      <c r="BN436" s="174">
        <v>5</v>
      </c>
      <c r="BO436" s="174">
        <v>5</v>
      </c>
      <c r="BP436" s="174">
        <v>5</v>
      </c>
      <c r="BQ436" s="174">
        <v>5</v>
      </c>
      <c r="BR436" s="174">
        <v>10</v>
      </c>
      <c r="BS436" s="174">
        <v>10</v>
      </c>
      <c r="BT436" s="174">
        <v>10</v>
      </c>
      <c r="BU436" s="174">
        <v>5</v>
      </c>
      <c r="BV436" s="174">
        <v>5</v>
      </c>
      <c r="BX436" s="174">
        <v>5</v>
      </c>
      <c r="BY436" s="174">
        <v>5</v>
      </c>
      <c r="BZ436" s="174">
        <v>5</v>
      </c>
      <c r="CA436" s="174">
        <v>5</v>
      </c>
      <c r="CB436" s="174">
        <v>5</v>
      </c>
      <c r="CC436" s="174">
        <v>5</v>
      </c>
      <c r="CD436" s="174">
        <v>5</v>
      </c>
      <c r="CE436" s="174">
        <v>10</v>
      </c>
      <c r="CF436" s="174">
        <v>5</v>
      </c>
      <c r="CG436" s="174">
        <v>5</v>
      </c>
      <c r="CH436" s="174">
        <v>5</v>
      </c>
      <c r="CI436" s="174">
        <v>5</v>
      </c>
      <c r="CJ436" s="174">
        <v>5</v>
      </c>
      <c r="CK436" s="174">
        <v>5</v>
      </c>
      <c r="CL436" s="174">
        <v>5</v>
      </c>
      <c r="CN436" s="174">
        <v>5</v>
      </c>
      <c r="CO436" s="174">
        <v>5</v>
      </c>
      <c r="CP436" s="174">
        <v>5</v>
      </c>
      <c r="CQ436" s="174">
        <v>5</v>
      </c>
      <c r="CX436" s="174">
        <v>5</v>
      </c>
      <c r="CY436" s="174">
        <v>5</v>
      </c>
      <c r="CZ436" s="174">
        <v>5</v>
      </c>
      <c r="DB436" s="174">
        <v>5</v>
      </c>
      <c r="DC436" s="174">
        <v>5</v>
      </c>
      <c r="DD436" s="174">
        <v>5</v>
      </c>
      <c r="DF436" s="174">
        <v>9</v>
      </c>
    </row>
    <row r="440" spans="5:110" ht="13.35" customHeight="1" x14ac:dyDescent="0.2">
      <c r="E440" s="174" t="s">
        <v>781</v>
      </c>
      <c r="F440" s="174" t="s">
        <v>782</v>
      </c>
      <c r="G440" s="174" t="s">
        <v>783</v>
      </c>
      <c r="H440" s="174" t="s">
        <v>784</v>
      </c>
      <c r="I440" s="174" t="s">
        <v>785</v>
      </c>
      <c r="J440" s="174" t="s">
        <v>786</v>
      </c>
      <c r="K440" s="174" t="s">
        <v>787</v>
      </c>
      <c r="L440" s="174" t="s">
        <v>788</v>
      </c>
      <c r="M440" s="174" t="s">
        <v>789</v>
      </c>
      <c r="N440" s="174" t="s">
        <v>790</v>
      </c>
      <c r="O440" s="174" t="s">
        <v>791</v>
      </c>
      <c r="P440" s="174" t="s">
        <v>792</v>
      </c>
      <c r="Q440" s="174" t="s">
        <v>793</v>
      </c>
      <c r="R440" s="174" t="s">
        <v>794</v>
      </c>
      <c r="S440" s="174" t="s">
        <v>182</v>
      </c>
      <c r="T440" s="174" t="s">
        <v>795</v>
      </c>
      <c r="U440" s="174" t="s">
        <v>796</v>
      </c>
      <c r="V440" s="174" t="s">
        <v>797</v>
      </c>
      <c r="W440" s="174" t="s">
        <v>798</v>
      </c>
      <c r="X440" s="174" t="s">
        <v>799</v>
      </c>
      <c r="Y440" s="174" t="s">
        <v>800</v>
      </c>
      <c r="AA440" s="174" t="s">
        <v>801</v>
      </c>
      <c r="AB440" s="174" t="s">
        <v>802</v>
      </c>
      <c r="AC440" s="174" t="s">
        <v>803</v>
      </c>
      <c r="AD440" s="174" t="s">
        <v>804</v>
      </c>
      <c r="AF440" s="174" t="s">
        <v>805</v>
      </c>
      <c r="AG440" s="174" t="s">
        <v>806</v>
      </c>
      <c r="AH440" s="174" t="s">
        <v>807</v>
      </c>
      <c r="AJ440" s="174" t="s">
        <v>808</v>
      </c>
      <c r="AK440" s="174" t="s">
        <v>809</v>
      </c>
      <c r="AL440" s="174" t="s">
        <v>810</v>
      </c>
      <c r="AM440" s="174" t="s">
        <v>811</v>
      </c>
      <c r="AO440" s="174" t="s">
        <v>812</v>
      </c>
      <c r="AP440" s="174" t="s">
        <v>813</v>
      </c>
      <c r="AQ440" s="174" t="s">
        <v>814</v>
      </c>
      <c r="AS440" s="174" t="s">
        <v>815</v>
      </c>
      <c r="AT440" s="174" t="s">
        <v>816</v>
      </c>
      <c r="AU440" s="174" t="s">
        <v>3484</v>
      </c>
      <c r="AV440" s="174" t="s">
        <v>818</v>
      </c>
      <c r="AW440" s="174" t="s">
        <v>819</v>
      </c>
      <c r="AX440" s="174" t="str">
        <f t="shared" ref="AX440:CQ440" si="47">AX2</f>
        <v>Priest of Community</v>
      </c>
      <c r="AY440" s="174" t="str">
        <f t="shared" si="47"/>
        <v>Priest of Competition</v>
      </c>
      <c r="AZ440" s="174" t="str">
        <f t="shared" si="47"/>
        <v>Priest of Crafts</v>
      </c>
      <c r="BA440" s="174" t="str">
        <f t="shared" si="47"/>
        <v>Priest of Culture</v>
      </c>
      <c r="BB440" s="174" t="str">
        <f t="shared" si="47"/>
        <v>Priest of Darkness, Night</v>
      </c>
      <c r="BC440" s="174" t="str">
        <f t="shared" si="47"/>
        <v>Priest of Dawn</v>
      </c>
      <c r="BD440" s="174" t="str">
        <f t="shared" si="47"/>
        <v>Priest of Death</v>
      </c>
      <c r="BE440" s="174" t="str">
        <f t="shared" si="47"/>
        <v>Priest of Disease</v>
      </c>
      <c r="BF440" s="174" t="str">
        <f t="shared" si="47"/>
        <v>Priest of Earth</v>
      </c>
      <c r="BG440" s="174" t="str">
        <f t="shared" si="47"/>
        <v>Priest of Fate, Destiny</v>
      </c>
      <c r="BH440" s="174" t="str">
        <f t="shared" si="47"/>
        <v>Priest of Fertility</v>
      </c>
      <c r="BI440" s="174" t="str">
        <f t="shared" si="47"/>
        <v>Priest of Fire</v>
      </c>
      <c r="BJ440" s="174" t="str">
        <f t="shared" si="47"/>
        <v>Priest of Fortune, Luck</v>
      </c>
      <c r="BK440" s="174" t="str">
        <f t="shared" si="47"/>
        <v>Priest of Guardianship</v>
      </c>
      <c r="BL440" s="174" t="str">
        <f t="shared" si="47"/>
        <v>Priest of Healing</v>
      </c>
      <c r="BM440" s="174" t="str">
        <f t="shared" si="47"/>
        <v>Priest of Hunting</v>
      </c>
      <c r="BN440" s="174" t="str">
        <f t="shared" si="47"/>
        <v>Priest of Justice, Revenge</v>
      </c>
      <c r="BO440" s="174" t="str">
        <f t="shared" si="47"/>
        <v>Priest of Light</v>
      </c>
      <c r="BP440" s="174" t="str">
        <f t="shared" si="47"/>
        <v>Priest of Lightning</v>
      </c>
      <c r="BQ440" s="174" t="str">
        <f t="shared" si="47"/>
        <v>Priest of Literature</v>
      </c>
      <c r="BR440" s="174" t="str">
        <f t="shared" si="47"/>
        <v>Priest of Love</v>
      </c>
      <c r="BS440" s="174" t="str">
        <f t="shared" si="47"/>
        <v>Priest of Magic</v>
      </c>
      <c r="BT440" s="174" t="str">
        <f t="shared" si="47"/>
        <v>Priest of Marriage</v>
      </c>
      <c r="BU440" s="174" t="str">
        <f t="shared" si="47"/>
        <v>Priest of Messengers</v>
      </c>
      <c r="BV440" s="174" t="str">
        <f t="shared" si="47"/>
        <v>Priest of Metalwork</v>
      </c>
      <c r="BW440" s="174" t="str">
        <f t="shared" si="47"/>
        <v>Priest of Mischief/Trickery</v>
      </c>
      <c r="BX440" s="174" t="str">
        <f t="shared" si="47"/>
        <v>Priest of Moon</v>
      </c>
      <c r="BY440" s="174" t="str">
        <f t="shared" si="47"/>
        <v>Priest of Music, Dance</v>
      </c>
      <c r="BZ440" s="174" t="str">
        <f t="shared" si="47"/>
        <v>Priest of Nature</v>
      </c>
      <c r="CA440" s="174" t="str">
        <f t="shared" si="47"/>
        <v>Priest of Ocean, Rivers</v>
      </c>
      <c r="CB440" s="174" t="str">
        <f t="shared" si="47"/>
        <v>Priest of Oracles</v>
      </c>
      <c r="CC440" s="174" t="str">
        <f t="shared" si="47"/>
        <v>Priest of Peace</v>
      </c>
      <c r="CD440" s="174" t="str">
        <f t="shared" si="47"/>
        <v>Priest of Prosperity</v>
      </c>
      <c r="CE440" s="174" t="str">
        <f t="shared" si="47"/>
        <v>Priest of Redemption</v>
      </c>
      <c r="CF440" s="174" t="str">
        <f t="shared" si="47"/>
        <v>Priest of Rulership</v>
      </c>
      <c r="CG440" s="174" t="str">
        <f t="shared" si="47"/>
        <v>Priest of Seasons</v>
      </c>
      <c r="CH440" s="174" t="str">
        <f t="shared" si="47"/>
        <v>Priest of Sky, Weather</v>
      </c>
      <c r="CI440" s="174" t="str">
        <f t="shared" si="47"/>
        <v>Priest of Strength</v>
      </c>
      <c r="CJ440" s="174" t="str">
        <f t="shared" si="47"/>
        <v>Priest of Sun</v>
      </c>
      <c r="CK440" s="174" t="str">
        <f t="shared" si="47"/>
        <v>Priest of Thunder</v>
      </c>
      <c r="CL440" s="174" t="str">
        <f t="shared" si="47"/>
        <v>Priest of Time</v>
      </c>
      <c r="CN440" s="174" t="str">
        <f t="shared" si="47"/>
        <v>Priest of Vegetation</v>
      </c>
      <c r="CO440" s="174" t="str">
        <f t="shared" si="47"/>
        <v>Priest of War</v>
      </c>
      <c r="CP440" s="174" t="str">
        <f t="shared" si="47"/>
        <v>Priest of Wind</v>
      </c>
      <c r="CQ440" s="174" t="str">
        <f t="shared" si="47"/>
        <v>Priest of Wisdom</v>
      </c>
      <c r="CS440" s="174" t="str">
        <f>CS412</f>
        <v>Barbarian (FRP)</v>
      </c>
      <c r="CT440" s="174" t="str">
        <f>CT412</f>
        <v>Outrider (FRP)</v>
      </c>
      <c r="CU440" s="174" t="str">
        <f>CU412</f>
        <v>Sage (FRP)</v>
      </c>
      <c r="CV440" s="174" t="str">
        <f>CV412</f>
        <v>Swashbuckler (FRP)</v>
      </c>
      <c r="CX440" s="174" t="s">
        <v>870</v>
      </c>
      <c r="CY440" s="174" t="s">
        <v>871</v>
      </c>
      <c r="CZ440" s="174" t="s">
        <v>872</v>
      </c>
      <c r="DA440" s="174" t="s">
        <v>1149</v>
      </c>
      <c r="DB440" s="174" t="s">
        <v>874</v>
      </c>
      <c r="DC440" s="174" t="s">
        <v>875</v>
      </c>
      <c r="DD440" s="174" t="s">
        <v>876</v>
      </c>
      <c r="DE440" s="174" t="s">
        <v>877</v>
      </c>
      <c r="DF440" s="174">
        <v>1</v>
      </c>
    </row>
    <row r="441" spans="5:110" ht="13.35" customHeight="1" x14ac:dyDescent="0.2">
      <c r="E441" s="182" t="s">
        <v>3502</v>
      </c>
      <c r="F441" s="174" t="s">
        <v>3503</v>
      </c>
      <c r="G441" s="174" t="s">
        <v>3504</v>
      </c>
      <c r="H441" s="174" t="s">
        <v>3504</v>
      </c>
      <c r="I441" s="174" t="s">
        <v>3503</v>
      </c>
      <c r="J441" s="174" t="s">
        <v>3505</v>
      </c>
      <c r="K441" s="174" t="s">
        <v>3505</v>
      </c>
      <c r="L441" s="190" t="s">
        <v>3506</v>
      </c>
      <c r="M441" s="174" t="s">
        <v>3505</v>
      </c>
      <c r="N441" s="174" t="s">
        <v>3505</v>
      </c>
      <c r="O441" s="174" t="s">
        <v>3505</v>
      </c>
      <c r="P441" s="174" t="s">
        <v>3505</v>
      </c>
      <c r="Q441" s="174" t="s">
        <v>3505</v>
      </c>
      <c r="R441" s="174" t="s">
        <v>3507</v>
      </c>
      <c r="S441" s="174" t="s">
        <v>3505</v>
      </c>
      <c r="T441" s="174" t="s">
        <v>3508</v>
      </c>
      <c r="U441" s="174" t="s">
        <v>3503</v>
      </c>
      <c r="V441" s="174" t="s">
        <v>3503</v>
      </c>
      <c r="W441" s="174" t="s">
        <v>3509</v>
      </c>
      <c r="X441" s="174" t="s">
        <v>3510</v>
      </c>
      <c r="Y441" s="190" t="s">
        <v>3511</v>
      </c>
      <c r="AA441" s="174" t="s">
        <v>3505</v>
      </c>
      <c r="AB441" s="174" t="s">
        <v>3505</v>
      </c>
      <c r="AC441" s="174" t="s">
        <v>3503</v>
      </c>
      <c r="AD441" s="174" t="s">
        <v>3503</v>
      </c>
      <c r="AF441" s="190" t="s">
        <v>3506</v>
      </c>
      <c r="AG441" s="174" t="s">
        <v>3505</v>
      </c>
      <c r="AH441" s="174" t="s">
        <v>3503</v>
      </c>
      <c r="AJ441" s="174" t="s">
        <v>3503</v>
      </c>
      <c r="AK441" s="190" t="s">
        <v>3511</v>
      </c>
      <c r="AL441" s="190" t="s">
        <v>3511</v>
      </c>
      <c r="AM441" s="190" t="s">
        <v>3506</v>
      </c>
      <c r="AO441" s="174" t="s">
        <v>3505</v>
      </c>
      <c r="AP441" s="174" t="s">
        <v>3505</v>
      </c>
      <c r="AQ441" s="174" t="s">
        <v>3503</v>
      </c>
      <c r="AS441" s="174" t="s">
        <v>3505</v>
      </c>
      <c r="AT441" s="174" t="s">
        <v>3505</v>
      </c>
      <c r="AU441" s="174" t="s">
        <v>3505</v>
      </c>
      <c r="AV441" s="174" t="s">
        <v>3505</v>
      </c>
      <c r="AW441" s="174" t="s">
        <v>3505</v>
      </c>
      <c r="AX441" s="174" t="s">
        <v>3505</v>
      </c>
      <c r="AY441" s="174" t="s">
        <v>3505</v>
      </c>
      <c r="AZ441" s="174" t="s">
        <v>3505</v>
      </c>
      <c r="BA441" s="174" t="s">
        <v>3505</v>
      </c>
      <c r="BB441" s="174" t="s">
        <v>3505</v>
      </c>
      <c r="BC441" s="174" t="s">
        <v>3505</v>
      </c>
      <c r="BD441" s="174" t="s">
        <v>3505</v>
      </c>
      <c r="BE441" s="174" t="s">
        <v>3505</v>
      </c>
      <c r="BF441" s="174" t="s">
        <v>3505</v>
      </c>
      <c r="BG441" s="174" t="s">
        <v>3505</v>
      </c>
      <c r="BH441" s="174" t="s">
        <v>3505</v>
      </c>
      <c r="BI441" s="174" t="s">
        <v>3505</v>
      </c>
      <c r="BJ441" s="174" t="s">
        <v>3505</v>
      </c>
      <c r="BK441" s="174" t="s">
        <v>3505</v>
      </c>
      <c r="BL441" s="174" t="s">
        <v>3505</v>
      </c>
      <c r="BM441" s="174" t="s">
        <v>3505</v>
      </c>
      <c r="BN441" s="174" t="s">
        <v>3505</v>
      </c>
      <c r="BO441" s="174" t="s">
        <v>3505</v>
      </c>
      <c r="BP441" s="174" t="s">
        <v>3505</v>
      </c>
      <c r="BQ441" s="174" t="s">
        <v>3505</v>
      </c>
      <c r="BR441" s="174" t="s">
        <v>3505</v>
      </c>
      <c r="BS441" s="174" t="s">
        <v>3505</v>
      </c>
      <c r="BT441" s="174" t="s">
        <v>3505</v>
      </c>
      <c r="BU441" s="174" t="s">
        <v>3505</v>
      </c>
      <c r="BV441" s="174" t="s">
        <v>3505</v>
      </c>
      <c r="BW441" s="174" t="s">
        <v>3505</v>
      </c>
      <c r="BX441" s="174" t="s">
        <v>3505</v>
      </c>
      <c r="BY441" s="174" t="s">
        <v>3505</v>
      </c>
      <c r="BZ441" s="174" t="s">
        <v>3505</v>
      </c>
      <c r="CA441" s="174" t="s">
        <v>3505</v>
      </c>
      <c r="CB441" s="174" t="s">
        <v>3505</v>
      </c>
      <c r="CC441" s="174" t="s">
        <v>3505</v>
      </c>
      <c r="CD441" s="174" t="s">
        <v>3505</v>
      </c>
      <c r="CE441" s="174" t="s">
        <v>3505</v>
      </c>
      <c r="CF441" s="174" t="s">
        <v>3505</v>
      </c>
      <c r="CG441" s="174" t="s">
        <v>3505</v>
      </c>
      <c r="CH441" s="174" t="s">
        <v>3505</v>
      </c>
      <c r="CI441" s="174" t="s">
        <v>3505</v>
      </c>
      <c r="CJ441" s="174" t="s">
        <v>3505</v>
      </c>
      <c r="CK441" s="174" t="s">
        <v>3505</v>
      </c>
      <c r="CL441" s="174" t="s">
        <v>3505</v>
      </c>
      <c r="CN441" s="174" t="s">
        <v>3505</v>
      </c>
      <c r="CO441" s="174" t="s">
        <v>3505</v>
      </c>
      <c r="CP441" s="174" t="s">
        <v>3505</v>
      </c>
      <c r="CQ441" s="174" t="s">
        <v>3505</v>
      </c>
      <c r="CS441" s="174" t="s">
        <v>3512</v>
      </c>
      <c r="CT441" s="174" t="s">
        <v>3505</v>
      </c>
      <c r="CU441" s="190" t="s">
        <v>3506</v>
      </c>
      <c r="CV441" s="174" t="s">
        <v>3509</v>
      </c>
      <c r="CX441" s="174" t="s">
        <v>3503</v>
      </c>
      <c r="CY441" s="174" t="s">
        <v>3505</v>
      </c>
      <c r="CZ441" s="174" t="s">
        <v>3505</v>
      </c>
      <c r="DA441" s="174" t="s">
        <v>3512</v>
      </c>
      <c r="DE441" s="174">
        <f>DE7</f>
        <v>0</v>
      </c>
      <c r="DF441" s="174">
        <v>2</v>
      </c>
    </row>
    <row r="442" spans="5:110" ht="13.35" customHeight="1" x14ac:dyDescent="0.2">
      <c r="E442" s="182" t="s">
        <v>3513</v>
      </c>
      <c r="AG442" s="222"/>
      <c r="CS442" s="174" t="str">
        <f>CS16</f>
        <v>4/4/4</v>
      </c>
      <c r="CT442" s="174" t="str">
        <f>CT16</f>
        <v>2/2/2</v>
      </c>
      <c r="CU442" s="174" t="str">
        <f>CU16</f>
        <v>1/1/1</v>
      </c>
      <c r="CV442" s="174" t="str">
        <f>CV16</f>
        <v>2/2/2</v>
      </c>
      <c r="DE442" s="174">
        <f>DE16</f>
        <v>0</v>
      </c>
      <c r="DF442" s="174">
        <v>3</v>
      </c>
    </row>
    <row r="443" spans="5:110" ht="13.35" customHeight="1" x14ac:dyDescent="0.2">
      <c r="DF443" s="174">
        <v>4</v>
      </c>
    </row>
    <row r="444" spans="5:110" ht="13.35" customHeight="1" x14ac:dyDescent="0.2">
      <c r="E444" s="174" t="s">
        <v>747</v>
      </c>
      <c r="F444" s="174">
        <v>6</v>
      </c>
      <c r="G444" s="174">
        <v>2</v>
      </c>
      <c r="H444" s="174">
        <v>4</v>
      </c>
      <c r="I444" s="174">
        <v>6</v>
      </c>
      <c r="J444" s="174">
        <v>6</v>
      </c>
      <c r="K444" s="174">
        <v>15</v>
      </c>
      <c r="L444" s="174">
        <v>9</v>
      </c>
      <c r="M444" s="174">
        <v>15</v>
      </c>
      <c r="N444" s="174">
        <v>10</v>
      </c>
      <c r="O444" s="174">
        <v>15</v>
      </c>
      <c r="P444" s="174">
        <v>15</v>
      </c>
      <c r="Q444" s="174">
        <v>15</v>
      </c>
      <c r="R444" s="174">
        <v>15</v>
      </c>
      <c r="S444" s="174">
        <v>15</v>
      </c>
      <c r="T444" s="174">
        <v>6</v>
      </c>
      <c r="U444" s="174">
        <v>15</v>
      </c>
      <c r="V444" s="174">
        <v>8</v>
      </c>
      <c r="W444" s="174">
        <v>6</v>
      </c>
      <c r="X444" s="174">
        <v>12</v>
      </c>
      <c r="Y444" s="174">
        <v>5</v>
      </c>
      <c r="AA444" s="174">
        <v>16</v>
      </c>
      <c r="AB444" s="174">
        <v>16</v>
      </c>
      <c r="AC444" s="174">
        <v>10</v>
      </c>
      <c r="AD444" s="174">
        <v>6</v>
      </c>
      <c r="AF444" s="174">
        <v>12</v>
      </c>
      <c r="AG444" s="174">
        <v>12</v>
      </c>
      <c r="AH444" s="174">
        <v>8</v>
      </c>
      <c r="AJ444" s="174">
        <v>8</v>
      </c>
      <c r="AK444" s="174">
        <v>16</v>
      </c>
      <c r="AL444" s="174">
        <v>15</v>
      </c>
      <c r="AM444" s="174">
        <v>15</v>
      </c>
      <c r="AO444" s="174">
        <v>15</v>
      </c>
      <c r="AP444" s="174">
        <v>15</v>
      </c>
      <c r="AQ444" s="174">
        <v>6</v>
      </c>
      <c r="AS444" s="174">
        <v>15</v>
      </c>
      <c r="AT444" s="174">
        <v>15</v>
      </c>
      <c r="AU444" s="174">
        <v>15</v>
      </c>
      <c r="AV444" s="174">
        <v>15</v>
      </c>
      <c r="AW444" s="174">
        <v>15</v>
      </c>
      <c r="AX444" s="174">
        <v>15</v>
      </c>
      <c r="AY444" s="174">
        <v>15</v>
      </c>
      <c r="AZ444" s="174">
        <v>15</v>
      </c>
      <c r="BA444" s="174">
        <v>15</v>
      </c>
      <c r="BB444" s="174">
        <v>15</v>
      </c>
      <c r="BC444" s="174">
        <v>15</v>
      </c>
      <c r="BD444" s="174">
        <v>15</v>
      </c>
      <c r="BE444" s="174">
        <v>15</v>
      </c>
      <c r="BF444" s="174">
        <v>15</v>
      </c>
      <c r="BG444" s="174">
        <v>15</v>
      </c>
      <c r="BH444" s="174">
        <v>15</v>
      </c>
      <c r="BI444" s="174">
        <v>15</v>
      </c>
      <c r="BJ444" s="174">
        <v>15</v>
      </c>
      <c r="BK444" s="174">
        <v>15</v>
      </c>
      <c r="BL444" s="174">
        <v>15</v>
      </c>
      <c r="BM444" s="174">
        <v>15</v>
      </c>
      <c r="BN444" s="174">
        <v>15</v>
      </c>
      <c r="BO444" s="174">
        <v>15</v>
      </c>
      <c r="BP444" s="174">
        <v>15</v>
      </c>
      <c r="BQ444" s="174">
        <v>15</v>
      </c>
      <c r="BR444" s="174">
        <v>15</v>
      </c>
      <c r="BS444" s="174">
        <v>15</v>
      </c>
      <c r="BT444" s="174">
        <v>15</v>
      </c>
      <c r="BU444" s="174">
        <v>15</v>
      </c>
      <c r="BV444" s="174">
        <v>15</v>
      </c>
      <c r="BW444" s="174">
        <v>15</v>
      </c>
      <c r="BX444" s="174">
        <v>15</v>
      </c>
      <c r="BY444" s="174">
        <v>15</v>
      </c>
      <c r="BZ444" s="174">
        <v>15</v>
      </c>
      <c r="CA444" s="174">
        <v>15</v>
      </c>
      <c r="CB444" s="174">
        <v>15</v>
      </c>
      <c r="CC444" s="174">
        <v>15</v>
      </c>
      <c r="CD444" s="174">
        <v>15</v>
      </c>
      <c r="CE444" s="174">
        <v>15</v>
      </c>
      <c r="CF444" s="174">
        <v>15</v>
      </c>
      <c r="CG444" s="174">
        <v>15</v>
      </c>
      <c r="CH444" s="174">
        <v>15</v>
      </c>
      <c r="CI444" s="174">
        <v>15</v>
      </c>
      <c r="CJ444" s="174">
        <v>15</v>
      </c>
      <c r="CK444" s="174">
        <v>15</v>
      </c>
      <c r="CL444" s="174">
        <v>15</v>
      </c>
      <c r="CN444" s="174">
        <v>15</v>
      </c>
      <c r="CO444" s="174">
        <v>15</v>
      </c>
      <c r="CP444" s="174">
        <v>15</v>
      </c>
      <c r="CQ444" s="174">
        <v>15</v>
      </c>
      <c r="CS444" s="174">
        <v>3</v>
      </c>
      <c r="CT444" s="174">
        <v>3</v>
      </c>
      <c r="CU444" s="174">
        <v>6</v>
      </c>
      <c r="CV444" s="174">
        <v>4</v>
      </c>
      <c r="CX444" s="174">
        <v>15</v>
      </c>
      <c r="CY444" s="174">
        <v>15</v>
      </c>
      <c r="CZ444" s="174">
        <v>10</v>
      </c>
      <c r="DA444" s="174">
        <v>3</v>
      </c>
      <c r="DB444" s="174">
        <v>15</v>
      </c>
      <c r="DC444" s="174">
        <v>15</v>
      </c>
      <c r="DD444" s="174">
        <v>15</v>
      </c>
      <c r="DF444" s="174">
        <v>5</v>
      </c>
    </row>
    <row r="445" spans="5:110" ht="13.35" customHeight="1" x14ac:dyDescent="0.2">
      <c r="E445" s="174" t="s">
        <v>748</v>
      </c>
      <c r="F445" s="174">
        <v>10</v>
      </c>
      <c r="G445" s="174">
        <v>6</v>
      </c>
      <c r="H445" s="174">
        <v>8</v>
      </c>
      <c r="I445" s="174">
        <v>12</v>
      </c>
      <c r="J445" s="174">
        <v>12</v>
      </c>
      <c r="K445" s="174">
        <v>30</v>
      </c>
      <c r="L445" s="174">
        <v>18</v>
      </c>
      <c r="M445" s="174">
        <v>30</v>
      </c>
      <c r="N445" s="174">
        <v>20</v>
      </c>
      <c r="O445" s="174">
        <v>30</v>
      </c>
      <c r="P445" s="174">
        <v>30</v>
      </c>
      <c r="Q445" s="174">
        <v>30</v>
      </c>
      <c r="R445" s="174">
        <v>30</v>
      </c>
      <c r="S445" s="174">
        <v>30</v>
      </c>
      <c r="T445" s="174">
        <v>12</v>
      </c>
      <c r="U445" s="174">
        <v>30</v>
      </c>
      <c r="V445" s="174">
        <v>16</v>
      </c>
      <c r="W445" s="174">
        <v>12</v>
      </c>
      <c r="X445" s="174">
        <v>24</v>
      </c>
      <c r="Y445" s="174">
        <v>10</v>
      </c>
      <c r="AA445" s="174">
        <v>32</v>
      </c>
      <c r="AB445" s="174">
        <v>32</v>
      </c>
      <c r="AC445" s="174">
        <v>20</v>
      </c>
      <c r="AD445" s="174">
        <v>14</v>
      </c>
      <c r="AF445" s="174">
        <v>24</v>
      </c>
      <c r="AG445" s="174">
        <v>24</v>
      </c>
      <c r="AH445" s="174">
        <v>16</v>
      </c>
      <c r="AJ445" s="174">
        <v>16</v>
      </c>
      <c r="AK445" s="174">
        <v>32</v>
      </c>
      <c r="AL445" s="174">
        <v>30</v>
      </c>
      <c r="AM445" s="174">
        <v>30</v>
      </c>
      <c r="AO445" s="174">
        <v>30</v>
      </c>
      <c r="AP445" s="174">
        <v>30</v>
      </c>
      <c r="AQ445" s="174">
        <v>12</v>
      </c>
      <c r="AS445" s="174">
        <v>30</v>
      </c>
      <c r="AT445" s="174">
        <v>30</v>
      </c>
      <c r="AU445" s="174">
        <v>30</v>
      </c>
      <c r="AV445" s="174">
        <v>30</v>
      </c>
      <c r="AW445" s="174">
        <v>30</v>
      </c>
      <c r="AX445" s="174">
        <v>30</v>
      </c>
      <c r="AY445" s="174">
        <v>30</v>
      </c>
      <c r="AZ445" s="174">
        <v>30</v>
      </c>
      <c r="BA445" s="174">
        <v>30</v>
      </c>
      <c r="BB445" s="174">
        <v>30</v>
      </c>
      <c r="BC445" s="174">
        <v>30</v>
      </c>
      <c r="BD445" s="174">
        <v>30</v>
      </c>
      <c r="BE445" s="174">
        <v>30</v>
      </c>
      <c r="BF445" s="174">
        <v>30</v>
      </c>
      <c r="BG445" s="174">
        <v>30</v>
      </c>
      <c r="BH445" s="174">
        <v>30</v>
      </c>
      <c r="BI445" s="174">
        <v>30</v>
      </c>
      <c r="BJ445" s="174">
        <v>30</v>
      </c>
      <c r="BK445" s="174">
        <v>30</v>
      </c>
      <c r="BL445" s="174">
        <v>30</v>
      </c>
      <c r="BM445" s="174">
        <v>30</v>
      </c>
      <c r="BN445" s="174">
        <v>30</v>
      </c>
      <c r="BO445" s="174">
        <v>30</v>
      </c>
      <c r="BP445" s="174">
        <v>30</v>
      </c>
      <c r="BQ445" s="174">
        <v>30</v>
      </c>
      <c r="BR445" s="174">
        <v>30</v>
      </c>
      <c r="BS445" s="174">
        <v>30</v>
      </c>
      <c r="BT445" s="174">
        <v>30</v>
      </c>
      <c r="BU445" s="174">
        <v>30</v>
      </c>
      <c r="BV445" s="174">
        <v>30</v>
      </c>
      <c r="BW445" s="174">
        <v>30</v>
      </c>
      <c r="BX445" s="174">
        <v>30</v>
      </c>
      <c r="BY445" s="174">
        <v>30</v>
      </c>
      <c r="BZ445" s="174">
        <v>30</v>
      </c>
      <c r="CA445" s="174">
        <v>30</v>
      </c>
      <c r="CB445" s="174">
        <v>30</v>
      </c>
      <c r="CC445" s="174">
        <v>30</v>
      </c>
      <c r="CD445" s="174">
        <v>30</v>
      </c>
      <c r="CE445" s="174">
        <v>30</v>
      </c>
      <c r="CF445" s="174">
        <v>30</v>
      </c>
      <c r="CG445" s="174">
        <v>30</v>
      </c>
      <c r="CH445" s="174">
        <v>30</v>
      </c>
      <c r="CI445" s="174">
        <v>30</v>
      </c>
      <c r="CJ445" s="174">
        <v>30</v>
      </c>
      <c r="CK445" s="174">
        <v>30</v>
      </c>
      <c r="CL445" s="174">
        <v>30</v>
      </c>
      <c r="CN445" s="174">
        <v>30</v>
      </c>
      <c r="CO445" s="174">
        <v>30</v>
      </c>
      <c r="CP445" s="174">
        <v>30</v>
      </c>
      <c r="CQ445" s="174">
        <v>30</v>
      </c>
      <c r="CS445" s="174">
        <v>9</v>
      </c>
      <c r="CT445" s="174">
        <v>9</v>
      </c>
      <c r="CU445" s="174">
        <v>12</v>
      </c>
      <c r="CV445" s="174">
        <v>8</v>
      </c>
      <c r="CX445" s="174">
        <v>30</v>
      </c>
      <c r="CY445" s="174">
        <v>30</v>
      </c>
      <c r="CZ445" s="174">
        <v>20</v>
      </c>
      <c r="DA445" s="174">
        <v>9</v>
      </c>
      <c r="DB445" s="174">
        <v>30</v>
      </c>
      <c r="DC445" s="174">
        <v>30</v>
      </c>
      <c r="DD445" s="174">
        <v>30</v>
      </c>
      <c r="DF445" s="174">
        <v>6</v>
      </c>
    </row>
    <row r="446" spans="5:110" ht="13.35" customHeight="1" x14ac:dyDescent="0.2">
      <c r="E446" s="174" t="s">
        <v>749</v>
      </c>
      <c r="F446" s="174">
        <v>3</v>
      </c>
      <c r="G446" s="174">
        <v>3</v>
      </c>
      <c r="H446" s="174">
        <v>2</v>
      </c>
      <c r="I446" s="174">
        <v>2</v>
      </c>
      <c r="J446" s="174">
        <v>3</v>
      </c>
      <c r="K446" s="174">
        <v>3</v>
      </c>
      <c r="L446" s="174">
        <v>3</v>
      </c>
      <c r="M446" s="174">
        <v>3</v>
      </c>
      <c r="N446" s="174">
        <v>3</v>
      </c>
      <c r="O446" s="174">
        <v>3</v>
      </c>
      <c r="P446" s="174">
        <v>3</v>
      </c>
      <c r="Q446" s="174">
        <v>3</v>
      </c>
      <c r="R446" s="174">
        <v>3</v>
      </c>
      <c r="S446" s="174">
        <v>3</v>
      </c>
      <c r="T446" s="174">
        <v>3</v>
      </c>
      <c r="U446" s="174">
        <v>3</v>
      </c>
      <c r="V446" s="174">
        <v>3</v>
      </c>
      <c r="W446" s="174">
        <v>3</v>
      </c>
      <c r="X446" s="174">
        <v>2</v>
      </c>
      <c r="Y446" s="174">
        <v>3</v>
      </c>
      <c r="AA446" s="174">
        <v>3</v>
      </c>
      <c r="AB446" s="174">
        <v>3</v>
      </c>
      <c r="AC446" s="174">
        <v>3</v>
      </c>
      <c r="AD446" s="174">
        <v>3</v>
      </c>
      <c r="AF446" s="174">
        <v>3</v>
      </c>
      <c r="AG446" s="174">
        <v>3</v>
      </c>
      <c r="AH446" s="174">
        <v>3</v>
      </c>
      <c r="AJ446" s="174">
        <v>3</v>
      </c>
      <c r="AK446" s="174">
        <v>3</v>
      </c>
      <c r="AL446" s="174">
        <v>2</v>
      </c>
      <c r="AM446" s="174">
        <v>2</v>
      </c>
      <c r="AO446" s="174">
        <v>3</v>
      </c>
      <c r="AP446" s="174">
        <v>3</v>
      </c>
      <c r="AQ446" s="174">
        <v>3</v>
      </c>
      <c r="AS446" s="174">
        <v>2</v>
      </c>
      <c r="AT446" s="174">
        <v>2</v>
      </c>
      <c r="AU446" s="174">
        <v>2</v>
      </c>
      <c r="AV446" s="174">
        <v>2</v>
      </c>
      <c r="AW446" s="174">
        <v>2</v>
      </c>
      <c r="AX446" s="174">
        <v>2</v>
      </c>
      <c r="AY446" s="174">
        <v>2</v>
      </c>
      <c r="AZ446" s="174">
        <v>2</v>
      </c>
      <c r="BA446" s="174">
        <v>2</v>
      </c>
      <c r="BB446" s="174">
        <v>2</v>
      </c>
      <c r="BC446" s="174">
        <v>2</v>
      </c>
      <c r="BD446" s="174">
        <v>2</v>
      </c>
      <c r="BE446" s="174">
        <v>2</v>
      </c>
      <c r="BF446" s="174">
        <v>2</v>
      </c>
      <c r="BG446" s="174">
        <v>2</v>
      </c>
      <c r="BH446" s="174">
        <v>2</v>
      </c>
      <c r="BI446" s="174">
        <v>2</v>
      </c>
      <c r="BJ446" s="174">
        <v>2</v>
      </c>
      <c r="BK446" s="174">
        <v>2</v>
      </c>
      <c r="BL446" s="174">
        <v>2</v>
      </c>
      <c r="BM446" s="174">
        <v>2</v>
      </c>
      <c r="BN446" s="174">
        <v>2</v>
      </c>
      <c r="BO446" s="174">
        <v>2</v>
      </c>
      <c r="BP446" s="174">
        <v>2</v>
      </c>
      <c r="BQ446" s="174">
        <v>2</v>
      </c>
      <c r="BR446" s="174">
        <v>2</v>
      </c>
      <c r="BS446" s="174">
        <v>2</v>
      </c>
      <c r="BT446" s="174">
        <v>2</v>
      </c>
      <c r="BU446" s="174">
        <v>2</v>
      </c>
      <c r="BV446" s="174">
        <v>2</v>
      </c>
      <c r="BW446" s="174">
        <v>2</v>
      </c>
      <c r="BX446" s="174">
        <v>2</v>
      </c>
      <c r="BY446" s="174">
        <v>2</v>
      </c>
      <c r="BZ446" s="174">
        <v>2</v>
      </c>
      <c r="CA446" s="174">
        <v>2</v>
      </c>
      <c r="CB446" s="174">
        <v>2</v>
      </c>
      <c r="CC446" s="174">
        <v>2</v>
      </c>
      <c r="CD446" s="174">
        <v>2</v>
      </c>
      <c r="CE446" s="174">
        <v>2</v>
      </c>
      <c r="CF446" s="174">
        <v>2</v>
      </c>
      <c r="CG446" s="174">
        <v>2</v>
      </c>
      <c r="CH446" s="174">
        <v>2</v>
      </c>
      <c r="CI446" s="174">
        <v>2</v>
      </c>
      <c r="CJ446" s="174">
        <v>2</v>
      </c>
      <c r="CK446" s="174">
        <v>2</v>
      </c>
      <c r="CL446" s="174">
        <v>2</v>
      </c>
      <c r="CN446" s="174">
        <v>2</v>
      </c>
      <c r="CO446" s="174">
        <v>2</v>
      </c>
      <c r="CP446" s="174">
        <v>2</v>
      </c>
      <c r="CQ446" s="174">
        <v>2</v>
      </c>
      <c r="CS446" s="174">
        <v>3</v>
      </c>
      <c r="CT446" s="174">
        <v>3</v>
      </c>
      <c r="CU446" s="174">
        <v>2</v>
      </c>
      <c r="CV446" s="174">
        <v>2</v>
      </c>
      <c r="CX446" s="174">
        <v>3</v>
      </c>
      <c r="CY446" s="174">
        <v>3</v>
      </c>
      <c r="CZ446" s="174">
        <v>3</v>
      </c>
      <c r="DA446" s="174">
        <v>3</v>
      </c>
      <c r="DB446" s="174">
        <v>3</v>
      </c>
      <c r="DC446" s="174">
        <v>3</v>
      </c>
      <c r="DD446" s="174">
        <v>3</v>
      </c>
      <c r="DF446" s="174">
        <v>7</v>
      </c>
    </row>
    <row r="447" spans="5:110" ht="13.35" customHeight="1" x14ac:dyDescent="0.2">
      <c r="E447" s="174" t="s">
        <v>751</v>
      </c>
      <c r="F447" s="174">
        <v>7</v>
      </c>
      <c r="G447" s="174">
        <v>7</v>
      </c>
      <c r="H447" s="174">
        <v>7</v>
      </c>
      <c r="I447" s="174">
        <v>7</v>
      </c>
      <c r="J447" s="174">
        <v>7</v>
      </c>
      <c r="K447" s="174">
        <v>7</v>
      </c>
      <c r="L447" s="174">
        <v>7</v>
      </c>
      <c r="M447" s="174">
        <v>7</v>
      </c>
      <c r="N447" s="174">
        <v>7</v>
      </c>
      <c r="O447" s="174">
        <v>7</v>
      </c>
      <c r="P447" s="174">
        <v>7</v>
      </c>
      <c r="Q447" s="174">
        <v>7</v>
      </c>
      <c r="R447" s="174">
        <v>7</v>
      </c>
      <c r="S447" s="174">
        <v>7</v>
      </c>
      <c r="T447" s="174">
        <v>7</v>
      </c>
      <c r="U447" s="174">
        <v>7</v>
      </c>
      <c r="V447" s="174">
        <v>7</v>
      </c>
      <c r="W447" s="174">
        <v>7</v>
      </c>
      <c r="X447" s="174">
        <v>4</v>
      </c>
      <c r="Y447" s="174">
        <v>7</v>
      </c>
      <c r="AA447" s="174">
        <v>6</v>
      </c>
      <c r="AB447" s="174">
        <v>6</v>
      </c>
      <c r="AC447" s="174">
        <v>7</v>
      </c>
      <c r="AD447" s="174">
        <v>7</v>
      </c>
      <c r="AF447" s="174">
        <v>7</v>
      </c>
      <c r="AG447" s="174">
        <v>5</v>
      </c>
      <c r="AH447" s="174">
        <v>7</v>
      </c>
      <c r="AJ447" s="174">
        <v>9</v>
      </c>
      <c r="AK447" s="174">
        <v>7</v>
      </c>
      <c r="AL447" s="174">
        <v>5</v>
      </c>
      <c r="AM447" s="174">
        <v>7</v>
      </c>
      <c r="AO447" s="174">
        <v>5</v>
      </c>
      <c r="AP447" s="174">
        <v>7</v>
      </c>
      <c r="AQ447" s="174">
        <v>7</v>
      </c>
      <c r="AS447" s="174">
        <v>5</v>
      </c>
      <c r="AT447" s="174">
        <v>5</v>
      </c>
      <c r="AU447" s="174">
        <v>5</v>
      </c>
      <c r="AV447" s="174">
        <v>5</v>
      </c>
      <c r="AW447" s="174">
        <v>5</v>
      </c>
      <c r="AX447" s="174">
        <v>5</v>
      </c>
      <c r="AY447" s="174">
        <v>5</v>
      </c>
      <c r="AZ447" s="174">
        <v>5</v>
      </c>
      <c r="BA447" s="174">
        <v>5</v>
      </c>
      <c r="BB447" s="174">
        <v>5</v>
      </c>
      <c r="BC447" s="174">
        <v>5</v>
      </c>
      <c r="BD447" s="174">
        <v>5</v>
      </c>
      <c r="BE447" s="174">
        <v>5</v>
      </c>
      <c r="BF447" s="174">
        <v>5</v>
      </c>
      <c r="BG447" s="174">
        <v>5</v>
      </c>
      <c r="BH447" s="174">
        <v>5</v>
      </c>
      <c r="BI447" s="174">
        <v>5</v>
      </c>
      <c r="BJ447" s="174">
        <v>5</v>
      </c>
      <c r="BK447" s="174">
        <v>5</v>
      </c>
      <c r="BL447" s="174">
        <v>5</v>
      </c>
      <c r="BM447" s="174">
        <v>5</v>
      </c>
      <c r="BN447" s="174">
        <v>5</v>
      </c>
      <c r="BO447" s="174">
        <v>5</v>
      </c>
      <c r="BP447" s="174">
        <v>5</v>
      </c>
      <c r="BQ447" s="174">
        <v>5</v>
      </c>
      <c r="BR447" s="174">
        <v>5</v>
      </c>
      <c r="BS447" s="174">
        <v>5</v>
      </c>
      <c r="BT447" s="174">
        <v>5</v>
      </c>
      <c r="BU447" s="174">
        <v>5</v>
      </c>
      <c r="BV447" s="174">
        <v>5</v>
      </c>
      <c r="BW447" s="174">
        <v>5</v>
      </c>
      <c r="BX447" s="174">
        <v>5</v>
      </c>
      <c r="BY447" s="174">
        <v>5</v>
      </c>
      <c r="BZ447" s="174">
        <v>5</v>
      </c>
      <c r="CA447" s="174">
        <v>5</v>
      </c>
      <c r="CB447" s="174">
        <v>5</v>
      </c>
      <c r="CC447" s="174">
        <v>5</v>
      </c>
      <c r="CD447" s="174">
        <v>5</v>
      </c>
      <c r="CE447" s="174">
        <v>5</v>
      </c>
      <c r="CF447" s="174">
        <v>5</v>
      </c>
      <c r="CG447" s="174">
        <v>5</v>
      </c>
      <c r="CH447" s="174">
        <v>5</v>
      </c>
      <c r="CI447" s="174">
        <v>5</v>
      </c>
      <c r="CJ447" s="174">
        <v>5</v>
      </c>
      <c r="CK447" s="174">
        <v>5</v>
      </c>
      <c r="CL447" s="174">
        <v>5</v>
      </c>
      <c r="CN447" s="174">
        <v>5</v>
      </c>
      <c r="CO447" s="174">
        <v>5</v>
      </c>
      <c r="CP447" s="174">
        <v>5</v>
      </c>
      <c r="CQ447" s="174">
        <v>5</v>
      </c>
      <c r="CS447" s="174">
        <v>7</v>
      </c>
      <c r="CT447" s="174">
        <v>7</v>
      </c>
      <c r="CU447" s="174">
        <v>4</v>
      </c>
      <c r="CV447" s="174">
        <v>7</v>
      </c>
      <c r="CX447" s="174">
        <v>7</v>
      </c>
      <c r="CY447" s="174">
        <v>7</v>
      </c>
      <c r="CZ447" s="174">
        <v>7</v>
      </c>
      <c r="DA447" s="174">
        <v>7</v>
      </c>
      <c r="DB447" s="174">
        <v>7</v>
      </c>
      <c r="DC447" s="174">
        <v>7</v>
      </c>
      <c r="DD447" s="174">
        <v>7</v>
      </c>
      <c r="DF447" s="174">
        <v>8</v>
      </c>
    </row>
    <row r="452" spans="5:109" ht="13.35" customHeight="1" x14ac:dyDescent="0.2">
      <c r="E452" s="174" t="s">
        <v>3514</v>
      </c>
      <c r="F452" s="185">
        <v>2</v>
      </c>
      <c r="G452" s="185">
        <v>2</v>
      </c>
      <c r="H452" s="185">
        <v>2</v>
      </c>
      <c r="I452" s="185">
        <v>2</v>
      </c>
      <c r="J452" s="185">
        <v>2</v>
      </c>
      <c r="K452" s="185">
        <v>2</v>
      </c>
      <c r="L452" s="185">
        <v>1</v>
      </c>
      <c r="M452" s="185">
        <v>2</v>
      </c>
      <c r="N452" s="185">
        <v>2</v>
      </c>
      <c r="O452" s="185">
        <v>2</v>
      </c>
      <c r="P452" s="185">
        <v>2</v>
      </c>
      <c r="Q452" s="185">
        <v>2</v>
      </c>
      <c r="R452" s="185">
        <v>1</v>
      </c>
      <c r="S452" s="185">
        <v>2</v>
      </c>
      <c r="T452" s="185">
        <v>2</v>
      </c>
      <c r="U452" s="185">
        <v>2</v>
      </c>
      <c r="V452" s="185">
        <v>2</v>
      </c>
      <c r="W452" s="185">
        <v>2</v>
      </c>
      <c r="X452" s="185">
        <v>1</v>
      </c>
      <c r="Y452" s="185">
        <v>2</v>
      </c>
      <c r="Z452" s="185"/>
      <c r="AA452" s="185">
        <v>2</v>
      </c>
      <c r="AB452" s="185">
        <v>2</v>
      </c>
      <c r="AC452" s="185">
        <v>2</v>
      </c>
      <c r="AD452" s="185">
        <v>2</v>
      </c>
      <c r="AE452" s="185"/>
      <c r="AF452" s="185">
        <v>2</v>
      </c>
      <c r="AG452" s="185">
        <v>2</v>
      </c>
      <c r="AH452" s="185">
        <v>2</v>
      </c>
      <c r="AI452" s="185"/>
      <c r="AJ452" s="185">
        <v>2</v>
      </c>
      <c r="AK452" s="185">
        <v>1</v>
      </c>
      <c r="AL452" s="185">
        <v>2</v>
      </c>
      <c r="AM452" s="185">
        <v>2</v>
      </c>
      <c r="AN452" s="185"/>
      <c r="AO452" s="185">
        <v>2</v>
      </c>
      <c r="AP452" s="185">
        <v>2</v>
      </c>
      <c r="AQ452" s="185">
        <v>2</v>
      </c>
      <c r="AR452" s="185"/>
      <c r="AS452" s="185">
        <v>2</v>
      </c>
      <c r="AT452" s="185">
        <v>2</v>
      </c>
      <c r="AU452" s="185">
        <v>2</v>
      </c>
      <c r="AV452" s="185">
        <v>2</v>
      </c>
      <c r="AW452" s="185">
        <v>2</v>
      </c>
      <c r="AX452" s="185">
        <v>2</v>
      </c>
      <c r="AY452" s="185">
        <v>2</v>
      </c>
      <c r="AZ452" s="185">
        <v>2</v>
      </c>
      <c r="BA452" s="185">
        <v>2</v>
      </c>
      <c r="BB452" s="185">
        <v>2</v>
      </c>
      <c r="BC452" s="185">
        <v>2</v>
      </c>
      <c r="BD452" s="185">
        <v>2</v>
      </c>
      <c r="BE452" s="185">
        <v>2</v>
      </c>
      <c r="BF452" s="185">
        <v>2</v>
      </c>
      <c r="BG452" s="185">
        <v>2</v>
      </c>
      <c r="BH452" s="185">
        <v>2</v>
      </c>
      <c r="BI452" s="185">
        <v>2</v>
      </c>
      <c r="BJ452" s="185">
        <v>2</v>
      </c>
      <c r="BK452" s="185">
        <v>2</v>
      </c>
      <c r="BL452" s="185">
        <v>2</v>
      </c>
      <c r="BM452" s="185">
        <v>2</v>
      </c>
      <c r="BN452" s="185">
        <v>2</v>
      </c>
      <c r="BO452" s="185">
        <v>2</v>
      </c>
      <c r="BP452" s="185">
        <v>2</v>
      </c>
      <c r="BQ452" s="185">
        <v>2</v>
      </c>
      <c r="BR452" s="185">
        <v>2</v>
      </c>
      <c r="BS452" s="185">
        <v>2</v>
      </c>
      <c r="BT452" s="185">
        <v>2</v>
      </c>
      <c r="BU452" s="185">
        <v>2</v>
      </c>
      <c r="BV452" s="185">
        <v>2</v>
      </c>
      <c r="BW452" s="185">
        <v>2</v>
      </c>
      <c r="BX452" s="185">
        <v>2</v>
      </c>
      <c r="BY452" s="185">
        <v>2</v>
      </c>
      <c r="BZ452" s="185">
        <v>2</v>
      </c>
      <c r="CA452" s="185">
        <v>2</v>
      </c>
      <c r="CB452" s="185">
        <v>2</v>
      </c>
      <c r="CC452" s="185">
        <v>2</v>
      </c>
      <c r="CD452" s="185">
        <v>2</v>
      </c>
      <c r="CE452" s="185">
        <v>2</v>
      </c>
      <c r="CF452" s="185">
        <v>2</v>
      </c>
      <c r="CG452" s="185">
        <v>2</v>
      </c>
      <c r="CH452" s="185">
        <v>2</v>
      </c>
      <c r="CI452" s="185">
        <v>2</v>
      </c>
      <c r="CJ452" s="185">
        <v>2</v>
      </c>
      <c r="CK452" s="185">
        <v>2</v>
      </c>
      <c r="CL452" s="185">
        <v>2</v>
      </c>
      <c r="CM452" s="185"/>
      <c r="CN452" s="185">
        <v>2</v>
      </c>
      <c r="CO452" s="185">
        <v>2</v>
      </c>
      <c r="CP452" s="185">
        <v>2</v>
      </c>
      <c r="CQ452" s="185">
        <v>2</v>
      </c>
      <c r="CR452" s="185"/>
      <c r="CS452" s="185">
        <v>2</v>
      </c>
      <c r="CT452" s="185">
        <v>2</v>
      </c>
      <c r="CU452" s="185">
        <v>2</v>
      </c>
      <c r="CV452" s="185">
        <v>2</v>
      </c>
      <c r="CW452" s="185"/>
      <c r="CX452" s="185">
        <v>2</v>
      </c>
      <c r="CY452" s="185">
        <v>2</v>
      </c>
      <c r="CZ452" s="185">
        <v>2</v>
      </c>
      <c r="DA452" s="185">
        <v>2</v>
      </c>
      <c r="DB452" s="185">
        <v>2</v>
      </c>
      <c r="DC452" s="185">
        <v>2</v>
      </c>
      <c r="DD452" s="185">
        <v>2</v>
      </c>
      <c r="DE452" s="174">
        <f>DE6</f>
        <v>0</v>
      </c>
    </row>
    <row r="453" spans="5:109" ht="13.35" customHeight="1" x14ac:dyDescent="0.2">
      <c r="E453" s="174" t="s">
        <v>3515</v>
      </c>
      <c r="F453" s="185">
        <v>5</v>
      </c>
      <c r="G453" s="185">
        <v>4</v>
      </c>
      <c r="H453" s="185">
        <v>4</v>
      </c>
      <c r="I453" s="185">
        <v>5</v>
      </c>
      <c r="J453" s="185">
        <v>5</v>
      </c>
      <c r="K453" s="185">
        <v>5</v>
      </c>
      <c r="L453" s="185">
        <v>5</v>
      </c>
      <c r="M453" s="185">
        <v>5</v>
      </c>
      <c r="N453" s="185">
        <v>5</v>
      </c>
      <c r="O453" s="185">
        <v>5</v>
      </c>
      <c r="P453" s="185">
        <v>5</v>
      </c>
      <c r="Q453" s="185">
        <v>5</v>
      </c>
      <c r="R453" s="185">
        <v>4</v>
      </c>
      <c r="S453" s="185">
        <v>5</v>
      </c>
      <c r="T453" s="185">
        <v>6</v>
      </c>
      <c r="U453" s="185">
        <v>5</v>
      </c>
      <c r="V453" s="185">
        <v>5</v>
      </c>
      <c r="W453" s="185">
        <v>4</v>
      </c>
      <c r="X453" s="185">
        <v>2</v>
      </c>
      <c r="Y453" s="185">
        <v>4</v>
      </c>
      <c r="Z453" s="185"/>
      <c r="AA453" s="185">
        <v>5</v>
      </c>
      <c r="AB453" s="185">
        <v>5</v>
      </c>
      <c r="AC453" s="185">
        <v>5</v>
      </c>
      <c r="AD453" s="185">
        <v>5</v>
      </c>
      <c r="AE453" s="185"/>
      <c r="AF453" s="185">
        <v>5</v>
      </c>
      <c r="AG453" s="185">
        <v>5</v>
      </c>
      <c r="AH453" s="185">
        <v>5</v>
      </c>
      <c r="AI453" s="185"/>
      <c r="AJ453" s="185">
        <v>5</v>
      </c>
      <c r="AK453" s="185">
        <v>4</v>
      </c>
      <c r="AL453" s="185">
        <v>4</v>
      </c>
      <c r="AM453" s="185">
        <v>5</v>
      </c>
      <c r="AN453" s="185"/>
      <c r="AO453" s="185">
        <v>5</v>
      </c>
      <c r="AP453" s="185">
        <v>5</v>
      </c>
      <c r="AQ453" s="185">
        <v>5</v>
      </c>
      <c r="AR453" s="185"/>
      <c r="AS453" s="185">
        <v>5</v>
      </c>
      <c r="AT453" s="185">
        <v>5</v>
      </c>
      <c r="AU453" s="185">
        <v>5</v>
      </c>
      <c r="AV453" s="185">
        <v>5</v>
      </c>
      <c r="AW453" s="185">
        <v>5</v>
      </c>
      <c r="AX453" s="185">
        <v>5</v>
      </c>
      <c r="AY453" s="185">
        <v>5</v>
      </c>
      <c r="AZ453" s="185">
        <v>5</v>
      </c>
      <c r="BA453" s="185">
        <v>5</v>
      </c>
      <c r="BB453" s="185">
        <v>5</v>
      </c>
      <c r="BC453" s="185">
        <v>5</v>
      </c>
      <c r="BD453" s="185">
        <v>5</v>
      </c>
      <c r="BE453" s="185">
        <v>5</v>
      </c>
      <c r="BF453" s="185">
        <v>5</v>
      </c>
      <c r="BG453" s="185">
        <v>5</v>
      </c>
      <c r="BH453" s="185">
        <v>5</v>
      </c>
      <c r="BI453" s="185">
        <v>5</v>
      </c>
      <c r="BJ453" s="185">
        <v>5</v>
      </c>
      <c r="BK453" s="185">
        <v>5</v>
      </c>
      <c r="BL453" s="185">
        <v>5</v>
      </c>
      <c r="BM453" s="185">
        <v>5</v>
      </c>
      <c r="BN453" s="185">
        <v>5</v>
      </c>
      <c r="BO453" s="185">
        <v>5</v>
      </c>
      <c r="BP453" s="185">
        <v>5</v>
      </c>
      <c r="BQ453" s="185">
        <v>5</v>
      </c>
      <c r="BR453" s="185">
        <v>5</v>
      </c>
      <c r="BS453" s="185">
        <v>5</v>
      </c>
      <c r="BT453" s="185">
        <v>5</v>
      </c>
      <c r="BU453" s="185">
        <v>5</v>
      </c>
      <c r="BV453" s="185">
        <v>5</v>
      </c>
      <c r="BW453" s="185">
        <v>5</v>
      </c>
      <c r="BX453" s="185">
        <v>5</v>
      </c>
      <c r="BY453" s="185">
        <v>5</v>
      </c>
      <c r="BZ453" s="185">
        <v>5</v>
      </c>
      <c r="CA453" s="185">
        <v>5</v>
      </c>
      <c r="CB453" s="185">
        <v>5</v>
      </c>
      <c r="CC453" s="185">
        <v>5</v>
      </c>
      <c r="CD453" s="185">
        <v>5</v>
      </c>
      <c r="CE453" s="185">
        <v>5</v>
      </c>
      <c r="CF453" s="185">
        <v>5</v>
      </c>
      <c r="CG453" s="185">
        <v>5</v>
      </c>
      <c r="CH453" s="185">
        <v>5</v>
      </c>
      <c r="CI453" s="185">
        <v>5</v>
      </c>
      <c r="CJ453" s="185">
        <v>5</v>
      </c>
      <c r="CK453" s="185">
        <v>5</v>
      </c>
      <c r="CL453" s="185">
        <v>5</v>
      </c>
      <c r="CM453" s="185"/>
      <c r="CN453" s="185">
        <v>5</v>
      </c>
      <c r="CO453" s="185">
        <v>5</v>
      </c>
      <c r="CP453" s="185">
        <v>5</v>
      </c>
      <c r="CQ453" s="185">
        <v>5</v>
      </c>
      <c r="CR453" s="185"/>
      <c r="CS453" s="185">
        <v>5</v>
      </c>
      <c r="CT453" s="185">
        <v>5</v>
      </c>
      <c r="CU453" s="185">
        <v>5</v>
      </c>
      <c r="CV453" s="185">
        <v>4</v>
      </c>
      <c r="CW453" s="185"/>
      <c r="CX453" s="185">
        <v>5</v>
      </c>
      <c r="CY453" s="185">
        <v>5</v>
      </c>
      <c r="CZ453" s="185">
        <v>5</v>
      </c>
      <c r="DA453" s="185">
        <v>5</v>
      </c>
      <c r="DB453" s="185">
        <v>5</v>
      </c>
      <c r="DC453" s="185">
        <v>5</v>
      </c>
      <c r="DD453" s="185">
        <v>5</v>
      </c>
    </row>
    <row r="454" spans="5:109" ht="13.35" customHeight="1" x14ac:dyDescent="0.2">
      <c r="E454" s="174" t="s">
        <v>3516</v>
      </c>
      <c r="F454" s="185">
        <v>3</v>
      </c>
      <c r="G454" s="185">
        <v>3</v>
      </c>
      <c r="H454" s="185">
        <v>3</v>
      </c>
      <c r="I454" s="185">
        <v>3</v>
      </c>
      <c r="J454" s="185">
        <v>2</v>
      </c>
      <c r="K454" s="185">
        <v>2</v>
      </c>
      <c r="L454" s="185">
        <v>1</v>
      </c>
      <c r="M454" s="185">
        <v>2</v>
      </c>
      <c r="N454" s="185">
        <v>2</v>
      </c>
      <c r="O454" s="185">
        <v>2</v>
      </c>
      <c r="P454" s="185">
        <v>2</v>
      </c>
      <c r="Q454" s="185">
        <v>2</v>
      </c>
      <c r="R454" s="185">
        <v>1</v>
      </c>
      <c r="S454" s="185">
        <v>2</v>
      </c>
      <c r="T454" s="185">
        <v>3</v>
      </c>
      <c r="U454" s="185">
        <v>3</v>
      </c>
      <c r="V454" s="185">
        <v>3</v>
      </c>
      <c r="W454" s="185">
        <v>2</v>
      </c>
      <c r="X454" s="185">
        <v>1</v>
      </c>
      <c r="Y454" s="185">
        <v>1</v>
      </c>
      <c r="Z454" s="185"/>
      <c r="AA454" s="185">
        <v>2</v>
      </c>
      <c r="AB454" s="185">
        <v>2</v>
      </c>
      <c r="AC454" s="185">
        <v>3</v>
      </c>
      <c r="AD454" s="185">
        <v>3</v>
      </c>
      <c r="AE454" s="185"/>
      <c r="AF454" s="185">
        <v>1</v>
      </c>
      <c r="AG454" s="185">
        <v>2</v>
      </c>
      <c r="AH454" s="185">
        <v>3</v>
      </c>
      <c r="AI454" s="185"/>
      <c r="AJ454" s="185">
        <v>3</v>
      </c>
      <c r="AK454" s="185">
        <v>1</v>
      </c>
      <c r="AL454" s="185">
        <v>1</v>
      </c>
      <c r="AM454" s="185">
        <v>1</v>
      </c>
      <c r="AN454" s="185"/>
      <c r="AO454" s="185">
        <v>2</v>
      </c>
      <c r="AP454" s="185">
        <v>2</v>
      </c>
      <c r="AQ454" s="185">
        <v>3</v>
      </c>
      <c r="AR454" s="185"/>
      <c r="AS454" s="185">
        <v>2</v>
      </c>
      <c r="AT454" s="185">
        <v>2</v>
      </c>
      <c r="AU454" s="185">
        <v>2</v>
      </c>
      <c r="AV454" s="185">
        <v>2</v>
      </c>
      <c r="AW454" s="185">
        <v>2</v>
      </c>
      <c r="AX454" s="185">
        <v>2</v>
      </c>
      <c r="AY454" s="185">
        <v>2</v>
      </c>
      <c r="AZ454" s="185">
        <v>2</v>
      </c>
      <c r="BA454" s="185">
        <v>2</v>
      </c>
      <c r="BB454" s="185">
        <v>2</v>
      </c>
      <c r="BC454" s="185">
        <v>2</v>
      </c>
      <c r="BD454" s="185">
        <v>2</v>
      </c>
      <c r="BE454" s="185">
        <v>2</v>
      </c>
      <c r="BF454" s="185">
        <v>2</v>
      </c>
      <c r="BG454" s="185">
        <v>2</v>
      </c>
      <c r="BH454" s="185">
        <v>2</v>
      </c>
      <c r="BI454" s="185">
        <v>2</v>
      </c>
      <c r="BJ454" s="185">
        <v>2</v>
      </c>
      <c r="BK454" s="185">
        <v>2</v>
      </c>
      <c r="BL454" s="185">
        <v>2</v>
      </c>
      <c r="BM454" s="185">
        <v>2</v>
      </c>
      <c r="BN454" s="185">
        <v>2</v>
      </c>
      <c r="BO454" s="185">
        <v>2</v>
      </c>
      <c r="BP454" s="185">
        <v>2</v>
      </c>
      <c r="BQ454" s="185">
        <v>2</v>
      </c>
      <c r="BR454" s="185">
        <v>2</v>
      </c>
      <c r="BS454" s="185">
        <v>2</v>
      </c>
      <c r="BT454" s="185">
        <v>2</v>
      </c>
      <c r="BU454" s="185">
        <v>2</v>
      </c>
      <c r="BV454" s="185">
        <v>2</v>
      </c>
      <c r="BW454" s="185">
        <v>2</v>
      </c>
      <c r="BX454" s="185">
        <v>2</v>
      </c>
      <c r="BY454" s="185">
        <v>2</v>
      </c>
      <c r="BZ454" s="185">
        <v>2</v>
      </c>
      <c r="CA454" s="185">
        <v>2</v>
      </c>
      <c r="CB454" s="185">
        <v>2</v>
      </c>
      <c r="CC454" s="185">
        <v>2</v>
      </c>
      <c r="CD454" s="185">
        <v>2</v>
      </c>
      <c r="CE454" s="185">
        <v>2</v>
      </c>
      <c r="CF454" s="185">
        <v>2</v>
      </c>
      <c r="CG454" s="185">
        <v>2</v>
      </c>
      <c r="CH454" s="185">
        <v>2</v>
      </c>
      <c r="CI454" s="185">
        <v>2</v>
      </c>
      <c r="CJ454" s="185">
        <v>2</v>
      </c>
      <c r="CK454" s="185">
        <v>2</v>
      </c>
      <c r="CL454" s="185">
        <v>2</v>
      </c>
      <c r="CM454" s="185"/>
      <c r="CN454" s="185">
        <v>2</v>
      </c>
      <c r="CO454" s="185">
        <v>2</v>
      </c>
      <c r="CP454" s="185">
        <v>2</v>
      </c>
      <c r="CQ454" s="185">
        <v>2</v>
      </c>
      <c r="CR454" s="185"/>
      <c r="CS454" s="185">
        <v>4</v>
      </c>
      <c r="CT454" s="185">
        <v>2</v>
      </c>
      <c r="CU454" s="185">
        <v>1</v>
      </c>
      <c r="CV454" s="185">
        <v>2</v>
      </c>
      <c r="CW454" s="185"/>
      <c r="CX454" s="185">
        <v>3</v>
      </c>
      <c r="CY454" s="185">
        <v>2</v>
      </c>
      <c r="CZ454" s="185">
        <v>2</v>
      </c>
      <c r="DA454" s="185">
        <v>4</v>
      </c>
      <c r="DB454" s="185">
        <v>2</v>
      </c>
      <c r="DC454" s="185">
        <v>2</v>
      </c>
      <c r="DD454" s="185">
        <v>2</v>
      </c>
    </row>
    <row r="455" spans="5:109" ht="13.35" customHeight="1" x14ac:dyDescent="0.2">
      <c r="E455" s="174" t="s">
        <v>3517</v>
      </c>
      <c r="F455" s="185">
        <f t="shared" ref="F455:Y455" si="48">F454*2</f>
        <v>6</v>
      </c>
      <c r="G455" s="185">
        <f t="shared" si="48"/>
        <v>6</v>
      </c>
      <c r="H455" s="185">
        <f t="shared" si="48"/>
        <v>6</v>
      </c>
      <c r="I455" s="185">
        <f t="shared" si="48"/>
        <v>6</v>
      </c>
      <c r="J455" s="185">
        <f t="shared" si="48"/>
        <v>4</v>
      </c>
      <c r="K455" s="185">
        <f t="shared" si="48"/>
        <v>4</v>
      </c>
      <c r="L455" s="185">
        <f t="shared" si="48"/>
        <v>2</v>
      </c>
      <c r="M455" s="185">
        <f t="shared" si="48"/>
        <v>4</v>
      </c>
      <c r="N455" s="185">
        <f t="shared" si="48"/>
        <v>4</v>
      </c>
      <c r="O455" s="185">
        <f t="shared" si="48"/>
        <v>4</v>
      </c>
      <c r="P455" s="185">
        <f t="shared" si="48"/>
        <v>4</v>
      </c>
      <c r="Q455" s="185">
        <f t="shared" si="48"/>
        <v>4</v>
      </c>
      <c r="R455" s="185">
        <f t="shared" si="48"/>
        <v>2</v>
      </c>
      <c r="S455" s="185">
        <f t="shared" si="48"/>
        <v>4</v>
      </c>
      <c r="T455" s="185">
        <f t="shared" si="48"/>
        <v>6</v>
      </c>
      <c r="U455" s="185">
        <f t="shared" si="48"/>
        <v>6</v>
      </c>
      <c r="V455" s="185">
        <f t="shared" si="48"/>
        <v>6</v>
      </c>
      <c r="W455" s="185">
        <f t="shared" si="48"/>
        <v>4</v>
      </c>
      <c r="X455" s="185">
        <f t="shared" si="48"/>
        <v>2</v>
      </c>
      <c r="Y455" s="185">
        <f t="shared" si="48"/>
        <v>2</v>
      </c>
      <c r="Z455" s="185"/>
      <c r="AA455" s="185">
        <f>AA454*2</f>
        <v>4</v>
      </c>
      <c r="AB455" s="185">
        <f>AB454*2</f>
        <v>4</v>
      </c>
      <c r="AC455" s="185">
        <f>AC454*2</f>
        <v>6</v>
      </c>
      <c r="AD455" s="185">
        <f>AD454*2</f>
        <v>6</v>
      </c>
      <c r="AE455" s="185"/>
      <c r="AF455" s="185">
        <f>AF454*2</f>
        <v>2</v>
      </c>
      <c r="AG455" s="185">
        <f>AG454*2</f>
        <v>4</v>
      </c>
      <c r="AH455" s="185">
        <f>AH454*2</f>
        <v>6</v>
      </c>
      <c r="AI455" s="185"/>
      <c r="AJ455" s="185">
        <f>AJ454*2</f>
        <v>6</v>
      </c>
      <c r="AK455" s="185">
        <f>AK454*2</f>
        <v>2</v>
      </c>
      <c r="AL455" s="185">
        <f>AL454*2</f>
        <v>2</v>
      </c>
      <c r="AM455" s="185">
        <f>AM454*2</f>
        <v>2</v>
      </c>
      <c r="AN455" s="185"/>
      <c r="AO455" s="185">
        <f>AO454*2</f>
        <v>4</v>
      </c>
      <c r="AP455" s="185">
        <f>AP454*2</f>
        <v>4</v>
      </c>
      <c r="AQ455" s="185">
        <f>AQ454*2</f>
        <v>6</v>
      </c>
      <c r="AR455" s="185"/>
      <c r="AS455" s="185">
        <f t="shared" ref="AS455:CQ455" si="49">AS454*2</f>
        <v>4</v>
      </c>
      <c r="AT455" s="185">
        <f t="shared" si="49"/>
        <v>4</v>
      </c>
      <c r="AU455" s="185">
        <f t="shared" si="49"/>
        <v>4</v>
      </c>
      <c r="AV455" s="185">
        <f t="shared" si="49"/>
        <v>4</v>
      </c>
      <c r="AW455" s="185">
        <f t="shared" si="49"/>
        <v>4</v>
      </c>
      <c r="AX455" s="185">
        <f t="shared" si="49"/>
        <v>4</v>
      </c>
      <c r="AY455" s="185">
        <f t="shared" si="49"/>
        <v>4</v>
      </c>
      <c r="AZ455" s="185">
        <f t="shared" si="49"/>
        <v>4</v>
      </c>
      <c r="BA455" s="185">
        <f t="shared" si="49"/>
        <v>4</v>
      </c>
      <c r="BB455" s="185">
        <f t="shared" si="49"/>
        <v>4</v>
      </c>
      <c r="BC455" s="185">
        <f t="shared" si="49"/>
        <v>4</v>
      </c>
      <c r="BD455" s="185">
        <f t="shared" si="49"/>
        <v>4</v>
      </c>
      <c r="BE455" s="185">
        <f t="shared" si="49"/>
        <v>4</v>
      </c>
      <c r="BF455" s="185">
        <f t="shared" si="49"/>
        <v>4</v>
      </c>
      <c r="BG455" s="185">
        <f t="shared" si="49"/>
        <v>4</v>
      </c>
      <c r="BH455" s="185">
        <f t="shared" si="49"/>
        <v>4</v>
      </c>
      <c r="BI455" s="185">
        <f t="shared" si="49"/>
        <v>4</v>
      </c>
      <c r="BJ455" s="185">
        <f t="shared" si="49"/>
        <v>4</v>
      </c>
      <c r="BK455" s="185">
        <f t="shared" si="49"/>
        <v>4</v>
      </c>
      <c r="BL455" s="185">
        <f t="shared" si="49"/>
        <v>4</v>
      </c>
      <c r="BM455" s="185">
        <f t="shared" si="49"/>
        <v>4</v>
      </c>
      <c r="BN455" s="185">
        <f t="shared" si="49"/>
        <v>4</v>
      </c>
      <c r="BO455" s="185">
        <f t="shared" si="49"/>
        <v>4</v>
      </c>
      <c r="BP455" s="185">
        <f t="shared" si="49"/>
        <v>4</v>
      </c>
      <c r="BQ455" s="185">
        <f t="shared" si="49"/>
        <v>4</v>
      </c>
      <c r="BR455" s="185">
        <f t="shared" si="49"/>
        <v>4</v>
      </c>
      <c r="BS455" s="185">
        <f t="shared" si="49"/>
        <v>4</v>
      </c>
      <c r="BT455" s="185">
        <f t="shared" si="49"/>
        <v>4</v>
      </c>
      <c r="BU455" s="185">
        <f t="shared" si="49"/>
        <v>4</v>
      </c>
      <c r="BV455" s="185">
        <f t="shared" si="49"/>
        <v>4</v>
      </c>
      <c r="BW455" s="185">
        <f t="shared" si="49"/>
        <v>4</v>
      </c>
      <c r="BX455" s="185">
        <f t="shared" si="49"/>
        <v>4</v>
      </c>
      <c r="BY455" s="185">
        <f t="shared" si="49"/>
        <v>4</v>
      </c>
      <c r="BZ455" s="185">
        <f t="shared" si="49"/>
        <v>4</v>
      </c>
      <c r="CA455" s="185">
        <f t="shared" si="49"/>
        <v>4</v>
      </c>
      <c r="CB455" s="185">
        <f t="shared" si="49"/>
        <v>4</v>
      </c>
      <c r="CC455" s="185">
        <f t="shared" si="49"/>
        <v>4</v>
      </c>
      <c r="CD455" s="185">
        <f t="shared" si="49"/>
        <v>4</v>
      </c>
      <c r="CE455" s="185">
        <f t="shared" si="49"/>
        <v>4</v>
      </c>
      <c r="CF455" s="185">
        <f t="shared" si="49"/>
        <v>4</v>
      </c>
      <c r="CG455" s="185">
        <f t="shared" si="49"/>
        <v>4</v>
      </c>
      <c r="CH455" s="185">
        <f t="shared" si="49"/>
        <v>4</v>
      </c>
      <c r="CI455" s="185">
        <f t="shared" si="49"/>
        <v>4</v>
      </c>
      <c r="CJ455" s="185">
        <f t="shared" si="49"/>
        <v>4</v>
      </c>
      <c r="CK455" s="185">
        <f t="shared" si="49"/>
        <v>4</v>
      </c>
      <c r="CL455" s="185">
        <f t="shared" si="49"/>
        <v>4</v>
      </c>
      <c r="CM455" s="185"/>
      <c r="CN455" s="185">
        <f t="shared" si="49"/>
        <v>4</v>
      </c>
      <c r="CO455" s="185">
        <f t="shared" si="49"/>
        <v>4</v>
      </c>
      <c r="CP455" s="185">
        <f t="shared" si="49"/>
        <v>4</v>
      </c>
      <c r="CQ455" s="185">
        <f t="shared" si="49"/>
        <v>4</v>
      </c>
      <c r="CR455" s="185"/>
      <c r="CS455" s="185">
        <f>CS454*2</f>
        <v>8</v>
      </c>
      <c r="CT455" s="185">
        <f>CT454*2</f>
        <v>4</v>
      </c>
      <c r="CU455" s="185">
        <f>CU454*2</f>
        <v>2</v>
      </c>
      <c r="CV455" s="185">
        <f>CV454*2</f>
        <v>4</v>
      </c>
      <c r="CW455" s="185"/>
      <c r="CX455" s="185">
        <f t="shared" ref="CX455:DD455" si="50">CX454*2</f>
        <v>6</v>
      </c>
      <c r="CY455" s="185">
        <f t="shared" si="50"/>
        <v>4</v>
      </c>
      <c r="CZ455" s="185">
        <f t="shared" si="50"/>
        <v>4</v>
      </c>
      <c r="DA455" s="185">
        <f t="shared" si="50"/>
        <v>8</v>
      </c>
      <c r="DB455" s="185">
        <f t="shared" si="50"/>
        <v>4</v>
      </c>
      <c r="DC455" s="185">
        <f t="shared" si="50"/>
        <v>4</v>
      </c>
      <c r="DD455" s="185">
        <f t="shared" si="50"/>
        <v>4</v>
      </c>
    </row>
    <row r="456" spans="5:109" ht="13.35" customHeight="1" x14ac:dyDescent="0.2">
      <c r="E456" s="174" t="s">
        <v>3518</v>
      </c>
      <c r="F456" s="185">
        <f t="shared" ref="F456:Y456" si="51">F454*3</f>
        <v>9</v>
      </c>
      <c r="G456" s="185">
        <f t="shared" si="51"/>
        <v>9</v>
      </c>
      <c r="H456" s="185">
        <f t="shared" si="51"/>
        <v>9</v>
      </c>
      <c r="I456" s="185">
        <f t="shared" si="51"/>
        <v>9</v>
      </c>
      <c r="J456" s="185">
        <f t="shared" si="51"/>
        <v>6</v>
      </c>
      <c r="K456" s="185">
        <f t="shared" si="51"/>
        <v>6</v>
      </c>
      <c r="L456" s="185">
        <f t="shared" si="51"/>
        <v>3</v>
      </c>
      <c r="M456" s="185">
        <f t="shared" si="51"/>
        <v>6</v>
      </c>
      <c r="N456" s="185">
        <f t="shared" si="51"/>
        <v>6</v>
      </c>
      <c r="O456" s="185">
        <f t="shared" si="51"/>
        <v>6</v>
      </c>
      <c r="P456" s="185">
        <f t="shared" si="51"/>
        <v>6</v>
      </c>
      <c r="Q456" s="185">
        <f t="shared" si="51"/>
        <v>6</v>
      </c>
      <c r="R456" s="185">
        <f t="shared" si="51"/>
        <v>3</v>
      </c>
      <c r="S456" s="185">
        <f t="shared" si="51"/>
        <v>6</v>
      </c>
      <c r="T456" s="185">
        <f t="shared" si="51"/>
        <v>9</v>
      </c>
      <c r="U456" s="185">
        <f t="shared" si="51"/>
        <v>9</v>
      </c>
      <c r="V456" s="185">
        <f t="shared" si="51"/>
        <v>9</v>
      </c>
      <c r="W456" s="185">
        <f t="shared" si="51"/>
        <v>6</v>
      </c>
      <c r="X456" s="185">
        <f t="shared" si="51"/>
        <v>3</v>
      </c>
      <c r="Y456" s="185">
        <f t="shared" si="51"/>
        <v>3</v>
      </c>
      <c r="Z456" s="185"/>
      <c r="AA456" s="185">
        <f>AA454*3</f>
        <v>6</v>
      </c>
      <c r="AB456" s="185">
        <f>AB454*3</f>
        <v>6</v>
      </c>
      <c r="AC456" s="185">
        <f>AC454*3</f>
        <v>9</v>
      </c>
      <c r="AD456" s="185">
        <f>AD454*3</f>
        <v>9</v>
      </c>
      <c r="AE456" s="185"/>
      <c r="AF456" s="185">
        <f>AF454*3</f>
        <v>3</v>
      </c>
      <c r="AG456" s="185">
        <f>AG454*3</f>
        <v>6</v>
      </c>
      <c r="AH456" s="185">
        <f>AH454*3</f>
        <v>9</v>
      </c>
      <c r="AI456" s="185"/>
      <c r="AJ456" s="185">
        <f>AJ454*3</f>
        <v>9</v>
      </c>
      <c r="AK456" s="185">
        <f>AK454*3</f>
        <v>3</v>
      </c>
      <c r="AL456" s="185">
        <f>AL454*3</f>
        <v>3</v>
      </c>
      <c r="AM456" s="185">
        <f>AM454*3</f>
        <v>3</v>
      </c>
      <c r="AN456" s="185"/>
      <c r="AO456" s="185">
        <f>AO454*3</f>
        <v>6</v>
      </c>
      <c r="AP456" s="185">
        <f>AP454*3</f>
        <v>6</v>
      </c>
      <c r="AQ456" s="185">
        <f>AQ454*3</f>
        <v>9</v>
      </c>
      <c r="AR456" s="185"/>
      <c r="AS456" s="185">
        <f t="shared" ref="AS456:CQ456" si="52">AS454*3</f>
        <v>6</v>
      </c>
      <c r="AT456" s="185">
        <f t="shared" si="52"/>
        <v>6</v>
      </c>
      <c r="AU456" s="185">
        <f t="shared" si="52"/>
        <v>6</v>
      </c>
      <c r="AV456" s="185">
        <f t="shared" si="52"/>
        <v>6</v>
      </c>
      <c r="AW456" s="185">
        <f t="shared" si="52"/>
        <v>6</v>
      </c>
      <c r="AX456" s="185">
        <f t="shared" si="52"/>
        <v>6</v>
      </c>
      <c r="AY456" s="185">
        <f t="shared" si="52"/>
        <v>6</v>
      </c>
      <c r="AZ456" s="185">
        <f t="shared" si="52"/>
        <v>6</v>
      </c>
      <c r="BA456" s="185">
        <f t="shared" si="52"/>
        <v>6</v>
      </c>
      <c r="BB456" s="185">
        <f t="shared" si="52"/>
        <v>6</v>
      </c>
      <c r="BC456" s="185">
        <f t="shared" si="52"/>
        <v>6</v>
      </c>
      <c r="BD456" s="185">
        <f t="shared" si="52"/>
        <v>6</v>
      </c>
      <c r="BE456" s="185">
        <f t="shared" si="52"/>
        <v>6</v>
      </c>
      <c r="BF456" s="185">
        <f t="shared" si="52"/>
        <v>6</v>
      </c>
      <c r="BG456" s="185">
        <f t="shared" si="52"/>
        <v>6</v>
      </c>
      <c r="BH456" s="185">
        <f t="shared" si="52"/>
        <v>6</v>
      </c>
      <c r="BI456" s="185">
        <f t="shared" si="52"/>
        <v>6</v>
      </c>
      <c r="BJ456" s="185">
        <f t="shared" si="52"/>
        <v>6</v>
      </c>
      <c r="BK456" s="185">
        <f t="shared" si="52"/>
        <v>6</v>
      </c>
      <c r="BL456" s="185">
        <f t="shared" si="52"/>
        <v>6</v>
      </c>
      <c r="BM456" s="185">
        <f t="shared" si="52"/>
        <v>6</v>
      </c>
      <c r="BN456" s="185">
        <f t="shared" si="52"/>
        <v>6</v>
      </c>
      <c r="BO456" s="185">
        <f t="shared" si="52"/>
        <v>6</v>
      </c>
      <c r="BP456" s="185">
        <f t="shared" si="52"/>
        <v>6</v>
      </c>
      <c r="BQ456" s="185">
        <f t="shared" si="52"/>
        <v>6</v>
      </c>
      <c r="BR456" s="185">
        <f t="shared" si="52"/>
        <v>6</v>
      </c>
      <c r="BS456" s="185">
        <f t="shared" si="52"/>
        <v>6</v>
      </c>
      <c r="BT456" s="185">
        <f t="shared" si="52"/>
        <v>6</v>
      </c>
      <c r="BU456" s="185">
        <f t="shared" si="52"/>
        <v>6</v>
      </c>
      <c r="BV456" s="185">
        <f t="shared" si="52"/>
        <v>6</v>
      </c>
      <c r="BW456" s="185">
        <f t="shared" si="52"/>
        <v>6</v>
      </c>
      <c r="BX456" s="185">
        <f t="shared" si="52"/>
        <v>6</v>
      </c>
      <c r="BY456" s="185">
        <f t="shared" si="52"/>
        <v>6</v>
      </c>
      <c r="BZ456" s="185">
        <f t="shared" si="52"/>
        <v>6</v>
      </c>
      <c r="CA456" s="185">
        <f t="shared" si="52"/>
        <v>6</v>
      </c>
      <c r="CB456" s="185">
        <f t="shared" si="52"/>
        <v>6</v>
      </c>
      <c r="CC456" s="185">
        <f t="shared" si="52"/>
        <v>6</v>
      </c>
      <c r="CD456" s="185">
        <f t="shared" si="52"/>
        <v>6</v>
      </c>
      <c r="CE456" s="185">
        <f t="shared" si="52"/>
        <v>6</v>
      </c>
      <c r="CF456" s="185">
        <f t="shared" si="52"/>
        <v>6</v>
      </c>
      <c r="CG456" s="185">
        <f t="shared" si="52"/>
        <v>6</v>
      </c>
      <c r="CH456" s="185">
        <f t="shared" si="52"/>
        <v>6</v>
      </c>
      <c r="CI456" s="185">
        <f t="shared" si="52"/>
        <v>6</v>
      </c>
      <c r="CJ456" s="185">
        <f t="shared" si="52"/>
        <v>6</v>
      </c>
      <c r="CK456" s="185">
        <f t="shared" si="52"/>
        <v>6</v>
      </c>
      <c r="CL456" s="185">
        <f t="shared" si="52"/>
        <v>6</v>
      </c>
      <c r="CM456" s="185"/>
      <c r="CN456" s="185">
        <f t="shared" si="52"/>
        <v>6</v>
      </c>
      <c r="CO456" s="185">
        <f t="shared" si="52"/>
        <v>6</v>
      </c>
      <c r="CP456" s="185">
        <f t="shared" si="52"/>
        <v>6</v>
      </c>
      <c r="CQ456" s="185">
        <f t="shared" si="52"/>
        <v>6</v>
      </c>
      <c r="CR456" s="185"/>
      <c r="CS456" s="185">
        <f>CS454*3</f>
        <v>12</v>
      </c>
      <c r="CT456" s="185">
        <f>CT454*3</f>
        <v>6</v>
      </c>
      <c r="CU456" s="185">
        <f>CU454*3</f>
        <v>3</v>
      </c>
      <c r="CV456" s="185">
        <f>CV454*3</f>
        <v>6</v>
      </c>
      <c r="CW456" s="185"/>
      <c r="CX456" s="185">
        <f t="shared" ref="CX456:DD456" si="53">CX454*3</f>
        <v>9</v>
      </c>
      <c r="CY456" s="185">
        <f t="shared" si="53"/>
        <v>6</v>
      </c>
      <c r="CZ456" s="185">
        <f t="shared" si="53"/>
        <v>6</v>
      </c>
      <c r="DA456" s="185">
        <f t="shared" si="53"/>
        <v>12</v>
      </c>
      <c r="DB456" s="185">
        <f t="shared" si="53"/>
        <v>6</v>
      </c>
      <c r="DC456" s="185">
        <f t="shared" si="53"/>
        <v>6</v>
      </c>
      <c r="DD456" s="185">
        <f t="shared" si="53"/>
        <v>6</v>
      </c>
    </row>
    <row r="458" spans="5:109" ht="13.35" customHeight="1" x14ac:dyDescent="0.2">
      <c r="F458" s="185">
        <f>SMALL($F$452:$F$456,1)</f>
        <v>2</v>
      </c>
      <c r="G458" s="185">
        <f t="shared" ref="G458:Y458" si="54">SMALL(G452:G456,1)</f>
        <v>2</v>
      </c>
      <c r="H458" s="185">
        <f t="shared" si="54"/>
        <v>2</v>
      </c>
      <c r="I458" s="185">
        <f t="shared" si="54"/>
        <v>2</v>
      </c>
      <c r="J458" s="185">
        <f t="shared" si="54"/>
        <v>2</v>
      </c>
      <c r="K458" s="185">
        <f t="shared" si="54"/>
        <v>2</v>
      </c>
      <c r="L458" s="185">
        <f t="shared" si="54"/>
        <v>1</v>
      </c>
      <c r="M458" s="185">
        <f t="shared" si="54"/>
        <v>2</v>
      </c>
      <c r="N458" s="185">
        <f t="shared" si="54"/>
        <v>2</v>
      </c>
      <c r="O458" s="185">
        <f t="shared" si="54"/>
        <v>2</v>
      </c>
      <c r="P458" s="185">
        <f t="shared" si="54"/>
        <v>2</v>
      </c>
      <c r="Q458" s="185">
        <f t="shared" si="54"/>
        <v>2</v>
      </c>
      <c r="R458" s="185">
        <f t="shared" si="54"/>
        <v>1</v>
      </c>
      <c r="S458" s="185">
        <f t="shared" si="54"/>
        <v>2</v>
      </c>
      <c r="T458" s="185">
        <f t="shared" si="54"/>
        <v>2</v>
      </c>
      <c r="U458" s="185">
        <f t="shared" si="54"/>
        <v>2</v>
      </c>
      <c r="V458" s="185">
        <f t="shared" si="54"/>
        <v>2</v>
      </c>
      <c r="W458" s="185">
        <f t="shared" si="54"/>
        <v>2</v>
      </c>
      <c r="X458" s="185">
        <f t="shared" si="54"/>
        <v>1</v>
      </c>
      <c r="Y458" s="185">
        <f t="shared" si="54"/>
        <v>1</v>
      </c>
      <c r="Z458" s="185"/>
      <c r="AA458" s="185">
        <f>SMALL(AA452:AA456,1)</f>
        <v>2</v>
      </c>
      <c r="AB458" s="185">
        <f>SMALL(AB452:AB456,1)</f>
        <v>2</v>
      </c>
      <c r="AC458" s="185">
        <f>SMALL(AC452:AC456,1)</f>
        <v>2</v>
      </c>
      <c r="AD458" s="185">
        <f>SMALL(AD452:AD456,1)</f>
        <v>2</v>
      </c>
      <c r="AE458" s="185"/>
      <c r="AF458" s="185">
        <f>SMALL(AF452:AF456,1)</f>
        <v>1</v>
      </c>
      <c r="AG458" s="185">
        <f>SMALL(AG452:AG456,1)</f>
        <v>2</v>
      </c>
      <c r="AH458" s="185">
        <f>SMALL(AH452:AH456,1)</f>
        <v>2</v>
      </c>
      <c r="AI458" s="185"/>
      <c r="AJ458" s="185">
        <f>SMALL(AJ452:AJ456,1)</f>
        <v>2</v>
      </c>
      <c r="AK458" s="185">
        <f>SMALL(AK452:AK456,1)</f>
        <v>1</v>
      </c>
      <c r="AL458" s="185">
        <f>SMALL(AL452:AL456,1)</f>
        <v>1</v>
      </c>
      <c r="AM458" s="185">
        <f>SMALL(AM452:AM456,1)</f>
        <v>1</v>
      </c>
      <c r="AN458" s="185"/>
      <c r="AO458" s="185">
        <f>SMALL(AO452:AO456,1)</f>
        <v>2</v>
      </c>
      <c r="AP458" s="185">
        <f>SMALL(AP452:AP456,1)</f>
        <v>2</v>
      </c>
      <c r="AQ458" s="185">
        <f>SMALL(AQ452:AQ456,1)</f>
        <v>2</v>
      </c>
      <c r="AR458" s="185"/>
      <c r="AS458" s="185">
        <f t="shared" ref="AS458:CQ458" si="55">SMALL(AS452:AS456,1)</f>
        <v>2</v>
      </c>
      <c r="AT458" s="185">
        <f t="shared" si="55"/>
        <v>2</v>
      </c>
      <c r="AU458" s="185">
        <f t="shared" si="55"/>
        <v>2</v>
      </c>
      <c r="AV458" s="185">
        <f t="shared" si="55"/>
        <v>2</v>
      </c>
      <c r="AW458" s="185">
        <f t="shared" si="55"/>
        <v>2</v>
      </c>
      <c r="AX458" s="185">
        <f t="shared" si="55"/>
        <v>2</v>
      </c>
      <c r="AY458" s="185">
        <f t="shared" si="55"/>
        <v>2</v>
      </c>
      <c r="AZ458" s="185">
        <f t="shared" si="55"/>
        <v>2</v>
      </c>
      <c r="BA458" s="185">
        <f t="shared" si="55"/>
        <v>2</v>
      </c>
      <c r="BB458" s="185">
        <f t="shared" si="55"/>
        <v>2</v>
      </c>
      <c r="BC458" s="185">
        <f t="shared" si="55"/>
        <v>2</v>
      </c>
      <c r="BD458" s="185">
        <f t="shared" si="55"/>
        <v>2</v>
      </c>
      <c r="BE458" s="185">
        <f t="shared" si="55"/>
        <v>2</v>
      </c>
      <c r="BF458" s="185">
        <f t="shared" si="55"/>
        <v>2</v>
      </c>
      <c r="BG458" s="185">
        <f t="shared" si="55"/>
        <v>2</v>
      </c>
      <c r="BH458" s="185">
        <f t="shared" si="55"/>
        <v>2</v>
      </c>
      <c r="BI458" s="185">
        <f t="shared" si="55"/>
        <v>2</v>
      </c>
      <c r="BJ458" s="185">
        <f t="shared" si="55"/>
        <v>2</v>
      </c>
      <c r="BK458" s="185">
        <f t="shared" si="55"/>
        <v>2</v>
      </c>
      <c r="BL458" s="185">
        <f t="shared" si="55"/>
        <v>2</v>
      </c>
      <c r="BM458" s="185">
        <f t="shared" si="55"/>
        <v>2</v>
      </c>
      <c r="BN458" s="185">
        <f t="shared" si="55"/>
        <v>2</v>
      </c>
      <c r="BO458" s="185">
        <f t="shared" si="55"/>
        <v>2</v>
      </c>
      <c r="BP458" s="185">
        <f t="shared" si="55"/>
        <v>2</v>
      </c>
      <c r="BQ458" s="185">
        <f t="shared" si="55"/>
        <v>2</v>
      </c>
      <c r="BR458" s="185">
        <f t="shared" si="55"/>
        <v>2</v>
      </c>
      <c r="BS458" s="185">
        <f t="shared" si="55"/>
        <v>2</v>
      </c>
      <c r="BT458" s="185">
        <f t="shared" si="55"/>
        <v>2</v>
      </c>
      <c r="BU458" s="185">
        <f t="shared" si="55"/>
        <v>2</v>
      </c>
      <c r="BV458" s="185">
        <f t="shared" si="55"/>
        <v>2</v>
      </c>
      <c r="BW458" s="185">
        <f t="shared" si="55"/>
        <v>2</v>
      </c>
      <c r="BX458" s="185">
        <f t="shared" si="55"/>
        <v>2</v>
      </c>
      <c r="BY458" s="185">
        <f t="shared" si="55"/>
        <v>2</v>
      </c>
      <c r="BZ458" s="185">
        <f t="shared" si="55"/>
        <v>2</v>
      </c>
      <c r="CA458" s="185">
        <f t="shared" si="55"/>
        <v>2</v>
      </c>
      <c r="CB458" s="185">
        <f t="shared" si="55"/>
        <v>2</v>
      </c>
      <c r="CC458" s="185">
        <f t="shared" si="55"/>
        <v>2</v>
      </c>
      <c r="CD458" s="185">
        <f t="shared" si="55"/>
        <v>2</v>
      </c>
      <c r="CE458" s="185">
        <f t="shared" si="55"/>
        <v>2</v>
      </c>
      <c r="CF458" s="185">
        <f t="shared" si="55"/>
        <v>2</v>
      </c>
      <c r="CG458" s="185">
        <f t="shared" si="55"/>
        <v>2</v>
      </c>
      <c r="CH458" s="185">
        <f t="shared" si="55"/>
        <v>2</v>
      </c>
      <c r="CI458" s="185">
        <f t="shared" si="55"/>
        <v>2</v>
      </c>
      <c r="CJ458" s="185">
        <f t="shared" si="55"/>
        <v>2</v>
      </c>
      <c r="CK458" s="185">
        <f t="shared" si="55"/>
        <v>2</v>
      </c>
      <c r="CL458" s="185">
        <f t="shared" si="55"/>
        <v>2</v>
      </c>
      <c r="CM458" s="185"/>
      <c r="CN458" s="185">
        <f t="shared" si="55"/>
        <v>2</v>
      </c>
      <c r="CO458" s="185">
        <f t="shared" si="55"/>
        <v>2</v>
      </c>
      <c r="CP458" s="185">
        <f t="shared" si="55"/>
        <v>2</v>
      </c>
      <c r="CQ458" s="185">
        <f t="shared" si="55"/>
        <v>2</v>
      </c>
      <c r="CR458" s="185"/>
      <c r="CS458" s="185">
        <f>SMALL(CS452:CS456,1)</f>
        <v>2</v>
      </c>
      <c r="CT458" s="185">
        <f>SMALL(CT452:CT456,1)</f>
        <v>2</v>
      </c>
      <c r="CU458" s="185">
        <f>SMALL(CU452:CU456,1)</f>
        <v>1</v>
      </c>
      <c r="CV458" s="185">
        <f>SMALL(CV452:CV456,1)</f>
        <v>2</v>
      </c>
      <c r="CW458" s="185"/>
      <c r="CX458" s="185">
        <f t="shared" ref="CX458:DD458" si="56">SMALL(CX452:CX456,1)</f>
        <v>2</v>
      </c>
      <c r="CY458" s="185">
        <f t="shared" si="56"/>
        <v>2</v>
      </c>
      <c r="CZ458" s="185">
        <f t="shared" si="56"/>
        <v>2</v>
      </c>
      <c r="DA458" s="185">
        <f t="shared" si="56"/>
        <v>2</v>
      </c>
      <c r="DB458" s="185">
        <f t="shared" si="56"/>
        <v>2</v>
      </c>
      <c r="DC458" s="185">
        <f t="shared" si="56"/>
        <v>2</v>
      </c>
      <c r="DD458" s="185">
        <f t="shared" si="56"/>
        <v>2</v>
      </c>
      <c r="DE458" s="185"/>
    </row>
    <row r="459" spans="5:109" ht="13.35" customHeight="1" x14ac:dyDescent="0.2">
      <c r="F459" s="185">
        <f t="shared" ref="F459:Y459" si="57">SMALL(F452:F456,2)</f>
        <v>3</v>
      </c>
      <c r="G459" s="185">
        <f t="shared" si="57"/>
        <v>3</v>
      </c>
      <c r="H459" s="185">
        <f t="shared" si="57"/>
        <v>3</v>
      </c>
      <c r="I459" s="185">
        <f t="shared" si="57"/>
        <v>3</v>
      </c>
      <c r="J459" s="185">
        <f t="shared" si="57"/>
        <v>2</v>
      </c>
      <c r="K459" s="185">
        <f t="shared" si="57"/>
        <v>2</v>
      </c>
      <c r="L459" s="185">
        <f t="shared" si="57"/>
        <v>1</v>
      </c>
      <c r="M459" s="185">
        <f t="shared" si="57"/>
        <v>2</v>
      </c>
      <c r="N459" s="185">
        <f t="shared" si="57"/>
        <v>2</v>
      </c>
      <c r="O459" s="185">
        <f t="shared" si="57"/>
        <v>2</v>
      </c>
      <c r="P459" s="185">
        <f t="shared" si="57"/>
        <v>2</v>
      </c>
      <c r="Q459" s="185">
        <f t="shared" si="57"/>
        <v>2</v>
      </c>
      <c r="R459" s="185">
        <f t="shared" si="57"/>
        <v>1</v>
      </c>
      <c r="S459" s="185">
        <f t="shared" si="57"/>
        <v>2</v>
      </c>
      <c r="T459" s="185">
        <f t="shared" si="57"/>
        <v>3</v>
      </c>
      <c r="U459" s="185">
        <f t="shared" si="57"/>
        <v>3</v>
      </c>
      <c r="V459" s="185">
        <f t="shared" si="57"/>
        <v>3</v>
      </c>
      <c r="W459" s="185">
        <f t="shared" si="57"/>
        <v>2</v>
      </c>
      <c r="X459" s="185">
        <f t="shared" si="57"/>
        <v>1</v>
      </c>
      <c r="Y459" s="185">
        <f t="shared" si="57"/>
        <v>2</v>
      </c>
      <c r="Z459" s="185"/>
      <c r="AA459" s="185">
        <f>SMALL(AA452:AA456,2)</f>
        <v>2</v>
      </c>
      <c r="AB459" s="185">
        <f>SMALL(AB452:AB456,2)</f>
        <v>2</v>
      </c>
      <c r="AC459" s="185">
        <f>SMALL(AC452:AC456,2)</f>
        <v>3</v>
      </c>
      <c r="AD459" s="185">
        <f>SMALL(AD452:AD456,2)</f>
        <v>3</v>
      </c>
      <c r="AE459" s="185"/>
      <c r="AF459" s="185">
        <f>SMALL(AF452:AF456,2)</f>
        <v>2</v>
      </c>
      <c r="AG459" s="185">
        <f>SMALL(AG452:AG456,2)</f>
        <v>2</v>
      </c>
      <c r="AH459" s="185">
        <f>SMALL(AH452:AH456,2)</f>
        <v>3</v>
      </c>
      <c r="AI459" s="185"/>
      <c r="AJ459" s="185">
        <f>SMALL(AJ452:AJ456,2)</f>
        <v>3</v>
      </c>
      <c r="AK459" s="185">
        <f>SMALL(AK452:AK456,2)</f>
        <v>1</v>
      </c>
      <c r="AL459" s="185">
        <f>SMALL(AL452:AL456,2)</f>
        <v>2</v>
      </c>
      <c r="AM459" s="185">
        <f>SMALL(AM452:AM456,2)</f>
        <v>2</v>
      </c>
      <c r="AN459" s="185"/>
      <c r="AO459" s="185">
        <f>SMALL(AO452:AO456,2)</f>
        <v>2</v>
      </c>
      <c r="AP459" s="185">
        <f>SMALL(AP452:AP456,2)</f>
        <v>2</v>
      </c>
      <c r="AQ459" s="185">
        <f>SMALL(AQ452:AQ456,2)</f>
        <v>3</v>
      </c>
      <c r="AR459" s="185"/>
      <c r="AS459" s="185">
        <f t="shared" ref="AS459:CQ459" si="58">SMALL(AS452:AS456,2)</f>
        <v>2</v>
      </c>
      <c r="AT459" s="185">
        <f t="shared" si="58"/>
        <v>2</v>
      </c>
      <c r="AU459" s="185">
        <f t="shared" si="58"/>
        <v>2</v>
      </c>
      <c r="AV459" s="185">
        <f t="shared" si="58"/>
        <v>2</v>
      </c>
      <c r="AW459" s="185">
        <f t="shared" si="58"/>
        <v>2</v>
      </c>
      <c r="AX459" s="185">
        <f t="shared" si="58"/>
        <v>2</v>
      </c>
      <c r="AY459" s="185">
        <f t="shared" si="58"/>
        <v>2</v>
      </c>
      <c r="AZ459" s="185">
        <f t="shared" si="58"/>
        <v>2</v>
      </c>
      <c r="BA459" s="185">
        <f t="shared" si="58"/>
        <v>2</v>
      </c>
      <c r="BB459" s="185">
        <f t="shared" si="58"/>
        <v>2</v>
      </c>
      <c r="BC459" s="185">
        <f t="shared" si="58"/>
        <v>2</v>
      </c>
      <c r="BD459" s="185">
        <f t="shared" si="58"/>
        <v>2</v>
      </c>
      <c r="BE459" s="185">
        <f t="shared" si="58"/>
        <v>2</v>
      </c>
      <c r="BF459" s="185">
        <f t="shared" si="58"/>
        <v>2</v>
      </c>
      <c r="BG459" s="185">
        <f t="shared" si="58"/>
        <v>2</v>
      </c>
      <c r="BH459" s="185">
        <f t="shared" si="58"/>
        <v>2</v>
      </c>
      <c r="BI459" s="185">
        <f t="shared" si="58"/>
        <v>2</v>
      </c>
      <c r="BJ459" s="185">
        <f t="shared" si="58"/>
        <v>2</v>
      </c>
      <c r="BK459" s="185">
        <f t="shared" si="58"/>
        <v>2</v>
      </c>
      <c r="BL459" s="185">
        <f t="shared" si="58"/>
        <v>2</v>
      </c>
      <c r="BM459" s="185">
        <f t="shared" si="58"/>
        <v>2</v>
      </c>
      <c r="BN459" s="185">
        <f t="shared" si="58"/>
        <v>2</v>
      </c>
      <c r="BO459" s="185">
        <f t="shared" si="58"/>
        <v>2</v>
      </c>
      <c r="BP459" s="185">
        <f t="shared" si="58"/>
        <v>2</v>
      </c>
      <c r="BQ459" s="185">
        <f t="shared" si="58"/>
        <v>2</v>
      </c>
      <c r="BR459" s="185">
        <f t="shared" si="58"/>
        <v>2</v>
      </c>
      <c r="BS459" s="185">
        <f t="shared" si="58"/>
        <v>2</v>
      </c>
      <c r="BT459" s="185">
        <f t="shared" si="58"/>
        <v>2</v>
      </c>
      <c r="BU459" s="185">
        <f t="shared" si="58"/>
        <v>2</v>
      </c>
      <c r="BV459" s="185">
        <f t="shared" si="58"/>
        <v>2</v>
      </c>
      <c r="BW459" s="185">
        <f t="shared" si="58"/>
        <v>2</v>
      </c>
      <c r="BX459" s="185">
        <f t="shared" si="58"/>
        <v>2</v>
      </c>
      <c r="BY459" s="185">
        <f t="shared" si="58"/>
        <v>2</v>
      </c>
      <c r="BZ459" s="185">
        <f t="shared" si="58"/>
        <v>2</v>
      </c>
      <c r="CA459" s="185">
        <f t="shared" si="58"/>
        <v>2</v>
      </c>
      <c r="CB459" s="185">
        <f t="shared" si="58"/>
        <v>2</v>
      </c>
      <c r="CC459" s="185">
        <f t="shared" si="58"/>
        <v>2</v>
      </c>
      <c r="CD459" s="185">
        <f t="shared" si="58"/>
        <v>2</v>
      </c>
      <c r="CE459" s="185">
        <f t="shared" si="58"/>
        <v>2</v>
      </c>
      <c r="CF459" s="185">
        <f t="shared" si="58"/>
        <v>2</v>
      </c>
      <c r="CG459" s="185">
        <f t="shared" si="58"/>
        <v>2</v>
      </c>
      <c r="CH459" s="185">
        <f t="shared" si="58"/>
        <v>2</v>
      </c>
      <c r="CI459" s="185">
        <f t="shared" si="58"/>
        <v>2</v>
      </c>
      <c r="CJ459" s="185">
        <f t="shared" si="58"/>
        <v>2</v>
      </c>
      <c r="CK459" s="185">
        <f t="shared" si="58"/>
        <v>2</v>
      </c>
      <c r="CL459" s="185">
        <f t="shared" si="58"/>
        <v>2</v>
      </c>
      <c r="CM459" s="185"/>
      <c r="CN459" s="185">
        <f t="shared" si="58"/>
        <v>2</v>
      </c>
      <c r="CO459" s="185">
        <f t="shared" si="58"/>
        <v>2</v>
      </c>
      <c r="CP459" s="185">
        <f t="shared" si="58"/>
        <v>2</v>
      </c>
      <c r="CQ459" s="185">
        <f t="shared" si="58"/>
        <v>2</v>
      </c>
      <c r="CR459" s="185"/>
      <c r="CS459" s="185">
        <f>SMALL(CS452:CS456,2)</f>
        <v>4</v>
      </c>
      <c r="CT459" s="185">
        <f>SMALL(CT452:CT456,2)</f>
        <v>2</v>
      </c>
      <c r="CU459" s="185">
        <f>SMALL(CU452:CU456,2)</f>
        <v>2</v>
      </c>
      <c r="CV459" s="185">
        <f>SMALL(CV452:CV456,2)</f>
        <v>2</v>
      </c>
      <c r="CW459" s="185"/>
      <c r="CX459" s="185">
        <f t="shared" ref="CX459:DD459" si="59">SMALL(CX452:CX456,2)</f>
        <v>3</v>
      </c>
      <c r="CY459" s="185">
        <f t="shared" si="59"/>
        <v>2</v>
      </c>
      <c r="CZ459" s="185">
        <f t="shared" si="59"/>
        <v>2</v>
      </c>
      <c r="DA459" s="185">
        <f t="shared" si="59"/>
        <v>4</v>
      </c>
      <c r="DB459" s="185">
        <f t="shared" si="59"/>
        <v>2</v>
      </c>
      <c r="DC459" s="185">
        <f t="shared" si="59"/>
        <v>2</v>
      </c>
      <c r="DD459" s="185">
        <f t="shared" si="59"/>
        <v>2</v>
      </c>
      <c r="DE459" s="185"/>
    </row>
    <row r="460" spans="5:109" ht="13.35" customHeight="1" x14ac:dyDescent="0.2">
      <c r="F460" s="185">
        <f t="shared" ref="F460:Y460" si="60">SMALL(F452:F456,3)</f>
        <v>5</v>
      </c>
      <c r="G460" s="185">
        <f t="shared" si="60"/>
        <v>4</v>
      </c>
      <c r="H460" s="185">
        <f t="shared" si="60"/>
        <v>4</v>
      </c>
      <c r="I460" s="185">
        <f t="shared" si="60"/>
        <v>5</v>
      </c>
      <c r="J460" s="185">
        <f t="shared" si="60"/>
        <v>4</v>
      </c>
      <c r="K460" s="185">
        <f t="shared" si="60"/>
        <v>4</v>
      </c>
      <c r="L460" s="185">
        <f t="shared" si="60"/>
        <v>2</v>
      </c>
      <c r="M460" s="185">
        <f t="shared" si="60"/>
        <v>4</v>
      </c>
      <c r="N460" s="185">
        <f t="shared" si="60"/>
        <v>4</v>
      </c>
      <c r="O460" s="185">
        <f t="shared" si="60"/>
        <v>4</v>
      </c>
      <c r="P460" s="185">
        <f t="shared" si="60"/>
        <v>4</v>
      </c>
      <c r="Q460" s="185">
        <f t="shared" si="60"/>
        <v>4</v>
      </c>
      <c r="R460" s="185">
        <f t="shared" si="60"/>
        <v>2</v>
      </c>
      <c r="S460" s="185">
        <f t="shared" si="60"/>
        <v>4</v>
      </c>
      <c r="T460" s="185">
        <f t="shared" si="60"/>
        <v>6</v>
      </c>
      <c r="U460" s="185">
        <f t="shared" si="60"/>
        <v>5</v>
      </c>
      <c r="V460" s="185">
        <f t="shared" si="60"/>
        <v>5</v>
      </c>
      <c r="W460" s="185">
        <f t="shared" si="60"/>
        <v>4</v>
      </c>
      <c r="X460" s="185">
        <f t="shared" si="60"/>
        <v>2</v>
      </c>
      <c r="Y460" s="185">
        <f t="shared" si="60"/>
        <v>2</v>
      </c>
      <c r="Z460" s="185"/>
      <c r="AA460" s="185">
        <f>SMALL(AA452:AA456,3)</f>
        <v>4</v>
      </c>
      <c r="AB460" s="185">
        <f>SMALL(AB452:AB456,3)</f>
        <v>4</v>
      </c>
      <c r="AC460" s="185">
        <f>SMALL(AC452:AC456,3)</f>
        <v>5</v>
      </c>
      <c r="AD460" s="185">
        <f>SMALL(AD452:AD456,3)</f>
        <v>5</v>
      </c>
      <c r="AE460" s="185"/>
      <c r="AF460" s="185">
        <f>SMALL(AF452:AF456,3)</f>
        <v>2</v>
      </c>
      <c r="AG460" s="185">
        <f>SMALL(AG452:AG456,3)</f>
        <v>4</v>
      </c>
      <c r="AH460" s="185">
        <f>SMALL(AH452:AH456,3)</f>
        <v>5</v>
      </c>
      <c r="AI460" s="185"/>
      <c r="AJ460" s="185">
        <f>SMALL(AJ452:AJ456,3)</f>
        <v>5</v>
      </c>
      <c r="AK460" s="185">
        <f>SMALL(AK452:AK456,3)</f>
        <v>2</v>
      </c>
      <c r="AL460" s="185">
        <f>SMALL(AL452:AL456,3)</f>
        <v>2</v>
      </c>
      <c r="AM460" s="185">
        <f>SMALL(AM452:AM456,3)</f>
        <v>2</v>
      </c>
      <c r="AN460" s="185"/>
      <c r="AO460" s="185">
        <f>SMALL(AO452:AO456,3)</f>
        <v>4</v>
      </c>
      <c r="AP460" s="185">
        <f>SMALL(AP452:AP456,3)</f>
        <v>4</v>
      </c>
      <c r="AQ460" s="185">
        <f>SMALL(AQ452:AQ456,3)</f>
        <v>5</v>
      </c>
      <c r="AR460" s="185"/>
      <c r="AS460" s="185">
        <f t="shared" ref="AS460:CQ460" si="61">SMALL(AS452:AS456,3)</f>
        <v>4</v>
      </c>
      <c r="AT460" s="185">
        <f t="shared" si="61"/>
        <v>4</v>
      </c>
      <c r="AU460" s="185">
        <f t="shared" si="61"/>
        <v>4</v>
      </c>
      <c r="AV460" s="185">
        <f t="shared" si="61"/>
        <v>4</v>
      </c>
      <c r="AW460" s="185">
        <f t="shared" si="61"/>
        <v>4</v>
      </c>
      <c r="AX460" s="185">
        <f t="shared" si="61"/>
        <v>4</v>
      </c>
      <c r="AY460" s="185">
        <f t="shared" si="61"/>
        <v>4</v>
      </c>
      <c r="AZ460" s="185">
        <f t="shared" si="61"/>
        <v>4</v>
      </c>
      <c r="BA460" s="185">
        <f t="shared" si="61"/>
        <v>4</v>
      </c>
      <c r="BB460" s="185">
        <f t="shared" si="61"/>
        <v>4</v>
      </c>
      <c r="BC460" s="185">
        <f t="shared" si="61"/>
        <v>4</v>
      </c>
      <c r="BD460" s="185">
        <f t="shared" si="61"/>
        <v>4</v>
      </c>
      <c r="BE460" s="185">
        <f t="shared" si="61"/>
        <v>4</v>
      </c>
      <c r="BF460" s="185">
        <f t="shared" si="61"/>
        <v>4</v>
      </c>
      <c r="BG460" s="185">
        <f t="shared" si="61"/>
        <v>4</v>
      </c>
      <c r="BH460" s="185">
        <f t="shared" si="61"/>
        <v>4</v>
      </c>
      <c r="BI460" s="185">
        <f t="shared" si="61"/>
        <v>4</v>
      </c>
      <c r="BJ460" s="185">
        <f t="shared" si="61"/>
        <v>4</v>
      </c>
      <c r="BK460" s="185">
        <f t="shared" si="61"/>
        <v>4</v>
      </c>
      <c r="BL460" s="185">
        <f t="shared" si="61"/>
        <v>4</v>
      </c>
      <c r="BM460" s="185">
        <f t="shared" si="61"/>
        <v>4</v>
      </c>
      <c r="BN460" s="185">
        <f t="shared" si="61"/>
        <v>4</v>
      </c>
      <c r="BO460" s="185">
        <f t="shared" si="61"/>
        <v>4</v>
      </c>
      <c r="BP460" s="185">
        <f t="shared" si="61"/>
        <v>4</v>
      </c>
      <c r="BQ460" s="185">
        <f t="shared" si="61"/>
        <v>4</v>
      </c>
      <c r="BR460" s="185">
        <f t="shared" si="61"/>
        <v>4</v>
      </c>
      <c r="BS460" s="185">
        <f t="shared" si="61"/>
        <v>4</v>
      </c>
      <c r="BT460" s="185">
        <f t="shared" si="61"/>
        <v>4</v>
      </c>
      <c r="BU460" s="185">
        <f t="shared" si="61"/>
        <v>4</v>
      </c>
      <c r="BV460" s="185">
        <f t="shared" si="61"/>
        <v>4</v>
      </c>
      <c r="BW460" s="185">
        <f t="shared" si="61"/>
        <v>4</v>
      </c>
      <c r="BX460" s="185">
        <f t="shared" si="61"/>
        <v>4</v>
      </c>
      <c r="BY460" s="185">
        <f t="shared" si="61"/>
        <v>4</v>
      </c>
      <c r="BZ460" s="185">
        <f t="shared" si="61"/>
        <v>4</v>
      </c>
      <c r="CA460" s="185">
        <f t="shared" si="61"/>
        <v>4</v>
      </c>
      <c r="CB460" s="185">
        <f t="shared" si="61"/>
        <v>4</v>
      </c>
      <c r="CC460" s="185">
        <f t="shared" si="61"/>
        <v>4</v>
      </c>
      <c r="CD460" s="185">
        <f t="shared" si="61"/>
        <v>4</v>
      </c>
      <c r="CE460" s="185">
        <f t="shared" si="61"/>
        <v>4</v>
      </c>
      <c r="CF460" s="185">
        <f t="shared" si="61"/>
        <v>4</v>
      </c>
      <c r="CG460" s="185">
        <f t="shared" si="61"/>
        <v>4</v>
      </c>
      <c r="CH460" s="185">
        <f t="shared" si="61"/>
        <v>4</v>
      </c>
      <c r="CI460" s="185">
        <f t="shared" si="61"/>
        <v>4</v>
      </c>
      <c r="CJ460" s="185">
        <f t="shared" si="61"/>
        <v>4</v>
      </c>
      <c r="CK460" s="185">
        <f t="shared" si="61"/>
        <v>4</v>
      </c>
      <c r="CL460" s="185">
        <f t="shared" si="61"/>
        <v>4</v>
      </c>
      <c r="CM460" s="185"/>
      <c r="CN460" s="185">
        <f t="shared" si="61"/>
        <v>4</v>
      </c>
      <c r="CO460" s="185">
        <f t="shared" si="61"/>
        <v>4</v>
      </c>
      <c r="CP460" s="185">
        <f t="shared" si="61"/>
        <v>4</v>
      </c>
      <c r="CQ460" s="185">
        <f t="shared" si="61"/>
        <v>4</v>
      </c>
      <c r="CR460" s="185"/>
      <c r="CS460" s="185">
        <f>SMALL(CS452:CS456,3)</f>
        <v>5</v>
      </c>
      <c r="CT460" s="185">
        <f>SMALL(CT452:CT456,3)</f>
        <v>4</v>
      </c>
      <c r="CU460" s="185">
        <f>SMALL(CU452:CU456,3)</f>
        <v>2</v>
      </c>
      <c r="CV460" s="185">
        <f>SMALL(CV452:CV456,3)</f>
        <v>4</v>
      </c>
      <c r="CW460" s="185"/>
      <c r="CX460" s="185">
        <f t="shared" ref="CX460:DD460" si="62">SMALL(CX452:CX456,3)</f>
        <v>5</v>
      </c>
      <c r="CY460" s="185">
        <f t="shared" si="62"/>
        <v>4</v>
      </c>
      <c r="CZ460" s="185">
        <f t="shared" si="62"/>
        <v>4</v>
      </c>
      <c r="DA460" s="185">
        <f t="shared" si="62"/>
        <v>5</v>
      </c>
      <c r="DB460" s="185">
        <f t="shared" si="62"/>
        <v>4</v>
      </c>
      <c r="DC460" s="185">
        <f t="shared" si="62"/>
        <v>4</v>
      </c>
      <c r="DD460" s="185">
        <f t="shared" si="62"/>
        <v>4</v>
      </c>
      <c r="DE460" s="185"/>
    </row>
    <row r="461" spans="5:109" ht="13.35" customHeight="1" x14ac:dyDescent="0.2">
      <c r="F461" s="185">
        <f t="shared" ref="F461:Y461" si="63">SMALL(F452:F456,4)</f>
        <v>6</v>
      </c>
      <c r="G461" s="185">
        <f t="shared" si="63"/>
        <v>6</v>
      </c>
      <c r="H461" s="185">
        <f t="shared" si="63"/>
        <v>6</v>
      </c>
      <c r="I461" s="185">
        <f t="shared" si="63"/>
        <v>6</v>
      </c>
      <c r="J461" s="185">
        <f t="shared" si="63"/>
        <v>5</v>
      </c>
      <c r="K461" s="185">
        <f t="shared" si="63"/>
        <v>5</v>
      </c>
      <c r="L461" s="185">
        <f t="shared" si="63"/>
        <v>3</v>
      </c>
      <c r="M461" s="185">
        <f t="shared" si="63"/>
        <v>5</v>
      </c>
      <c r="N461" s="185">
        <f t="shared" si="63"/>
        <v>5</v>
      </c>
      <c r="O461" s="185">
        <f t="shared" si="63"/>
        <v>5</v>
      </c>
      <c r="P461" s="185">
        <f t="shared" si="63"/>
        <v>5</v>
      </c>
      <c r="Q461" s="185">
        <f t="shared" si="63"/>
        <v>5</v>
      </c>
      <c r="R461" s="185">
        <f t="shared" si="63"/>
        <v>3</v>
      </c>
      <c r="S461" s="185">
        <f t="shared" si="63"/>
        <v>5</v>
      </c>
      <c r="T461" s="185">
        <f t="shared" si="63"/>
        <v>6</v>
      </c>
      <c r="U461" s="185">
        <f t="shared" si="63"/>
        <v>6</v>
      </c>
      <c r="V461" s="185">
        <f t="shared" si="63"/>
        <v>6</v>
      </c>
      <c r="W461" s="185">
        <f t="shared" si="63"/>
        <v>4</v>
      </c>
      <c r="X461" s="185">
        <f t="shared" si="63"/>
        <v>2</v>
      </c>
      <c r="Y461" s="185">
        <f t="shared" si="63"/>
        <v>3</v>
      </c>
      <c r="Z461" s="185"/>
      <c r="AA461" s="185">
        <f>SMALL(AA452:AA456,4)</f>
        <v>5</v>
      </c>
      <c r="AB461" s="185">
        <f>SMALL(AB452:AB456,4)</f>
        <v>5</v>
      </c>
      <c r="AC461" s="185">
        <f>SMALL(AC452:AC456,4)</f>
        <v>6</v>
      </c>
      <c r="AD461" s="185">
        <f>SMALL(AD452:AD456,4)</f>
        <v>6</v>
      </c>
      <c r="AE461" s="185"/>
      <c r="AF461" s="185">
        <f>SMALL(AF452:AF456,4)</f>
        <v>3</v>
      </c>
      <c r="AG461" s="185">
        <f>SMALL(AG452:AG456,4)</f>
        <v>5</v>
      </c>
      <c r="AH461" s="185">
        <f>SMALL(AH452:AH456,4)</f>
        <v>6</v>
      </c>
      <c r="AI461" s="185"/>
      <c r="AJ461" s="185">
        <f>SMALL(AJ452:AJ456,4)</f>
        <v>6</v>
      </c>
      <c r="AK461" s="185">
        <f>SMALL(AK452:AK456,4)</f>
        <v>3</v>
      </c>
      <c r="AL461" s="185">
        <f>SMALL(AL452:AL456,4)</f>
        <v>3</v>
      </c>
      <c r="AM461" s="185">
        <f>SMALL(AM452:AM456,4)</f>
        <v>3</v>
      </c>
      <c r="AN461" s="185"/>
      <c r="AO461" s="185">
        <f>SMALL(AO452:AO456,4)</f>
        <v>5</v>
      </c>
      <c r="AP461" s="185">
        <f>SMALL(AP452:AP456,4)</f>
        <v>5</v>
      </c>
      <c r="AQ461" s="185">
        <f>SMALL(AQ452:AQ456,4)</f>
        <v>6</v>
      </c>
      <c r="AR461" s="185"/>
      <c r="AS461" s="185">
        <f t="shared" ref="AS461:CQ461" si="64">SMALL(AS452:AS456,4)</f>
        <v>5</v>
      </c>
      <c r="AT461" s="185">
        <f t="shared" si="64"/>
        <v>5</v>
      </c>
      <c r="AU461" s="185">
        <f t="shared" si="64"/>
        <v>5</v>
      </c>
      <c r="AV461" s="185">
        <f t="shared" si="64"/>
        <v>5</v>
      </c>
      <c r="AW461" s="185">
        <f t="shared" si="64"/>
        <v>5</v>
      </c>
      <c r="AX461" s="185">
        <f t="shared" si="64"/>
        <v>5</v>
      </c>
      <c r="AY461" s="185">
        <f t="shared" si="64"/>
        <v>5</v>
      </c>
      <c r="AZ461" s="185">
        <f t="shared" si="64"/>
        <v>5</v>
      </c>
      <c r="BA461" s="185">
        <f t="shared" si="64"/>
        <v>5</v>
      </c>
      <c r="BB461" s="185">
        <f t="shared" si="64"/>
        <v>5</v>
      </c>
      <c r="BC461" s="185">
        <f t="shared" si="64"/>
        <v>5</v>
      </c>
      <c r="BD461" s="185">
        <f t="shared" si="64"/>
        <v>5</v>
      </c>
      <c r="BE461" s="185">
        <f t="shared" si="64"/>
        <v>5</v>
      </c>
      <c r="BF461" s="185">
        <f t="shared" si="64"/>
        <v>5</v>
      </c>
      <c r="BG461" s="185">
        <f t="shared" si="64"/>
        <v>5</v>
      </c>
      <c r="BH461" s="185">
        <f t="shared" si="64"/>
        <v>5</v>
      </c>
      <c r="BI461" s="185">
        <f t="shared" si="64"/>
        <v>5</v>
      </c>
      <c r="BJ461" s="185">
        <f t="shared" si="64"/>
        <v>5</v>
      </c>
      <c r="BK461" s="185">
        <f t="shared" si="64"/>
        <v>5</v>
      </c>
      <c r="BL461" s="185">
        <f t="shared" si="64"/>
        <v>5</v>
      </c>
      <c r="BM461" s="185">
        <f t="shared" si="64"/>
        <v>5</v>
      </c>
      <c r="BN461" s="185">
        <f t="shared" si="64"/>
        <v>5</v>
      </c>
      <c r="BO461" s="185">
        <f t="shared" si="64"/>
        <v>5</v>
      </c>
      <c r="BP461" s="185">
        <f t="shared" si="64"/>
        <v>5</v>
      </c>
      <c r="BQ461" s="185">
        <f t="shared" si="64"/>
        <v>5</v>
      </c>
      <c r="BR461" s="185">
        <f t="shared" si="64"/>
        <v>5</v>
      </c>
      <c r="BS461" s="185">
        <f t="shared" si="64"/>
        <v>5</v>
      </c>
      <c r="BT461" s="185">
        <f t="shared" si="64"/>
        <v>5</v>
      </c>
      <c r="BU461" s="185">
        <f t="shared" si="64"/>
        <v>5</v>
      </c>
      <c r="BV461" s="185">
        <f t="shared" si="64"/>
        <v>5</v>
      </c>
      <c r="BW461" s="185">
        <f t="shared" si="64"/>
        <v>5</v>
      </c>
      <c r="BX461" s="185">
        <f t="shared" si="64"/>
        <v>5</v>
      </c>
      <c r="BY461" s="185">
        <f t="shared" si="64"/>
        <v>5</v>
      </c>
      <c r="BZ461" s="185">
        <f t="shared" si="64"/>
        <v>5</v>
      </c>
      <c r="CA461" s="185">
        <f t="shared" si="64"/>
        <v>5</v>
      </c>
      <c r="CB461" s="185">
        <f t="shared" si="64"/>
        <v>5</v>
      </c>
      <c r="CC461" s="185">
        <f t="shared" si="64"/>
        <v>5</v>
      </c>
      <c r="CD461" s="185">
        <f t="shared" si="64"/>
        <v>5</v>
      </c>
      <c r="CE461" s="185">
        <f t="shared" si="64"/>
        <v>5</v>
      </c>
      <c r="CF461" s="185">
        <f t="shared" si="64"/>
        <v>5</v>
      </c>
      <c r="CG461" s="185">
        <f t="shared" si="64"/>
        <v>5</v>
      </c>
      <c r="CH461" s="185">
        <f t="shared" si="64"/>
        <v>5</v>
      </c>
      <c r="CI461" s="185">
        <f t="shared" si="64"/>
        <v>5</v>
      </c>
      <c r="CJ461" s="185">
        <f t="shared" si="64"/>
        <v>5</v>
      </c>
      <c r="CK461" s="185">
        <f t="shared" si="64"/>
        <v>5</v>
      </c>
      <c r="CL461" s="185">
        <f t="shared" si="64"/>
        <v>5</v>
      </c>
      <c r="CM461" s="185"/>
      <c r="CN461" s="185">
        <f t="shared" si="64"/>
        <v>5</v>
      </c>
      <c r="CO461" s="185">
        <f t="shared" si="64"/>
        <v>5</v>
      </c>
      <c r="CP461" s="185">
        <f t="shared" si="64"/>
        <v>5</v>
      </c>
      <c r="CQ461" s="185">
        <f t="shared" si="64"/>
        <v>5</v>
      </c>
      <c r="CR461" s="185"/>
      <c r="CS461" s="185">
        <f>SMALL(CS452:CS456,4)</f>
        <v>8</v>
      </c>
      <c r="CT461" s="185">
        <f>SMALL(CT452:CT456,4)</f>
        <v>5</v>
      </c>
      <c r="CU461" s="185">
        <f>SMALL(CU452:CU456,4)</f>
        <v>3</v>
      </c>
      <c r="CV461" s="185">
        <f>SMALL(CV452:CV456,4)</f>
        <v>4</v>
      </c>
      <c r="CW461" s="185"/>
      <c r="CX461" s="185">
        <f t="shared" ref="CX461:DD461" si="65">SMALL(CX452:CX456,4)</f>
        <v>6</v>
      </c>
      <c r="CY461" s="185">
        <f t="shared" si="65"/>
        <v>5</v>
      </c>
      <c r="CZ461" s="185">
        <f t="shared" si="65"/>
        <v>5</v>
      </c>
      <c r="DA461" s="185">
        <f t="shared" si="65"/>
        <v>8</v>
      </c>
      <c r="DB461" s="185">
        <f t="shared" si="65"/>
        <v>5</v>
      </c>
      <c r="DC461" s="185">
        <f t="shared" si="65"/>
        <v>5</v>
      </c>
      <c r="DD461" s="185">
        <f t="shared" si="65"/>
        <v>5</v>
      </c>
      <c r="DE461" s="185"/>
    </row>
    <row r="462" spans="5:109" ht="13.35" customHeight="1" x14ac:dyDescent="0.2">
      <c r="F462" s="185">
        <f t="shared" ref="F462:Y462" si="66">SMALL(F452:F456,5)</f>
        <v>9</v>
      </c>
      <c r="G462" s="185">
        <f t="shared" si="66"/>
        <v>9</v>
      </c>
      <c r="H462" s="185">
        <f t="shared" si="66"/>
        <v>9</v>
      </c>
      <c r="I462" s="185">
        <f t="shared" si="66"/>
        <v>9</v>
      </c>
      <c r="J462" s="185">
        <f t="shared" si="66"/>
        <v>6</v>
      </c>
      <c r="K462" s="185">
        <f t="shared" si="66"/>
        <v>6</v>
      </c>
      <c r="L462" s="185">
        <f t="shared" si="66"/>
        <v>5</v>
      </c>
      <c r="M462" s="185">
        <f t="shared" si="66"/>
        <v>6</v>
      </c>
      <c r="N462" s="185">
        <f t="shared" si="66"/>
        <v>6</v>
      </c>
      <c r="O462" s="185">
        <f t="shared" si="66"/>
        <v>6</v>
      </c>
      <c r="P462" s="185">
        <f t="shared" si="66"/>
        <v>6</v>
      </c>
      <c r="Q462" s="185">
        <f t="shared" si="66"/>
        <v>6</v>
      </c>
      <c r="R462" s="185">
        <f t="shared" si="66"/>
        <v>4</v>
      </c>
      <c r="S462" s="185">
        <f t="shared" si="66"/>
        <v>6</v>
      </c>
      <c r="T462" s="185">
        <f t="shared" si="66"/>
        <v>9</v>
      </c>
      <c r="U462" s="185">
        <f t="shared" si="66"/>
        <v>9</v>
      </c>
      <c r="V462" s="185">
        <f t="shared" si="66"/>
        <v>9</v>
      </c>
      <c r="W462" s="185">
        <f t="shared" si="66"/>
        <v>6</v>
      </c>
      <c r="X462" s="185">
        <f t="shared" si="66"/>
        <v>3</v>
      </c>
      <c r="Y462" s="185">
        <f t="shared" si="66"/>
        <v>4</v>
      </c>
      <c r="Z462" s="185"/>
      <c r="AA462" s="185">
        <f>SMALL(AA452:AA456,5)</f>
        <v>6</v>
      </c>
      <c r="AB462" s="185">
        <f>SMALL(AB452:AB456,5)</f>
        <v>6</v>
      </c>
      <c r="AC462" s="185">
        <f>SMALL(AC452:AC456,5)</f>
        <v>9</v>
      </c>
      <c r="AD462" s="185">
        <f>SMALL(AD452:AD456,5)</f>
        <v>9</v>
      </c>
      <c r="AE462" s="185"/>
      <c r="AF462" s="185">
        <f>SMALL(AF452:AF456,5)</f>
        <v>5</v>
      </c>
      <c r="AG462" s="185">
        <f>SMALL(AG452:AG456,5)</f>
        <v>6</v>
      </c>
      <c r="AH462" s="185">
        <f>SMALL(AH452:AH456,5)</f>
        <v>9</v>
      </c>
      <c r="AI462" s="185"/>
      <c r="AJ462" s="185">
        <f>SMALL(AJ452:AJ456,5)</f>
        <v>9</v>
      </c>
      <c r="AK462" s="185">
        <f>SMALL(AK452:AK456,5)</f>
        <v>4</v>
      </c>
      <c r="AL462" s="185">
        <f>SMALL(AL452:AL456,5)</f>
        <v>4</v>
      </c>
      <c r="AM462" s="185">
        <f>SMALL(AM452:AM456,5)</f>
        <v>5</v>
      </c>
      <c r="AN462" s="185"/>
      <c r="AO462" s="185">
        <f>SMALL(AO452:AO456,5)</f>
        <v>6</v>
      </c>
      <c r="AP462" s="185">
        <f>SMALL(AP452:AP456,5)</f>
        <v>6</v>
      </c>
      <c r="AQ462" s="185">
        <f>SMALL(AQ452:AQ456,5)</f>
        <v>9</v>
      </c>
      <c r="AR462" s="185"/>
      <c r="AS462" s="185">
        <f t="shared" ref="AS462:CQ462" si="67">SMALL(AS452:AS456,5)</f>
        <v>6</v>
      </c>
      <c r="AT462" s="185">
        <f t="shared" si="67"/>
        <v>6</v>
      </c>
      <c r="AU462" s="185">
        <f t="shared" si="67"/>
        <v>6</v>
      </c>
      <c r="AV462" s="185">
        <f t="shared" si="67"/>
        <v>6</v>
      </c>
      <c r="AW462" s="185">
        <f t="shared" si="67"/>
        <v>6</v>
      </c>
      <c r="AX462" s="185">
        <f t="shared" si="67"/>
        <v>6</v>
      </c>
      <c r="AY462" s="185">
        <f t="shared" si="67"/>
        <v>6</v>
      </c>
      <c r="AZ462" s="185">
        <f t="shared" si="67"/>
        <v>6</v>
      </c>
      <c r="BA462" s="185">
        <f t="shared" si="67"/>
        <v>6</v>
      </c>
      <c r="BB462" s="185">
        <f t="shared" si="67"/>
        <v>6</v>
      </c>
      <c r="BC462" s="185">
        <f t="shared" si="67"/>
        <v>6</v>
      </c>
      <c r="BD462" s="185">
        <f t="shared" si="67"/>
        <v>6</v>
      </c>
      <c r="BE462" s="185">
        <f t="shared" si="67"/>
        <v>6</v>
      </c>
      <c r="BF462" s="185">
        <f t="shared" si="67"/>
        <v>6</v>
      </c>
      <c r="BG462" s="185">
        <f t="shared" si="67"/>
        <v>6</v>
      </c>
      <c r="BH462" s="185">
        <f t="shared" si="67"/>
        <v>6</v>
      </c>
      <c r="BI462" s="185">
        <f t="shared" si="67"/>
        <v>6</v>
      </c>
      <c r="BJ462" s="185">
        <f t="shared" si="67"/>
        <v>6</v>
      </c>
      <c r="BK462" s="185">
        <f t="shared" si="67"/>
        <v>6</v>
      </c>
      <c r="BL462" s="185">
        <f t="shared" si="67"/>
        <v>6</v>
      </c>
      <c r="BM462" s="185">
        <f t="shared" si="67"/>
        <v>6</v>
      </c>
      <c r="BN462" s="185">
        <f t="shared" si="67"/>
        <v>6</v>
      </c>
      <c r="BO462" s="185">
        <f t="shared" si="67"/>
        <v>6</v>
      </c>
      <c r="BP462" s="185">
        <f t="shared" si="67"/>
        <v>6</v>
      </c>
      <c r="BQ462" s="185">
        <f t="shared" si="67"/>
        <v>6</v>
      </c>
      <c r="BR462" s="185">
        <f t="shared" si="67"/>
        <v>6</v>
      </c>
      <c r="BS462" s="185">
        <f t="shared" si="67"/>
        <v>6</v>
      </c>
      <c r="BT462" s="185">
        <f t="shared" si="67"/>
        <v>6</v>
      </c>
      <c r="BU462" s="185">
        <f t="shared" si="67"/>
        <v>6</v>
      </c>
      <c r="BV462" s="185">
        <f t="shared" si="67"/>
        <v>6</v>
      </c>
      <c r="BW462" s="185">
        <f t="shared" si="67"/>
        <v>6</v>
      </c>
      <c r="BX462" s="185">
        <f t="shared" si="67"/>
        <v>6</v>
      </c>
      <c r="BY462" s="185">
        <f t="shared" si="67"/>
        <v>6</v>
      </c>
      <c r="BZ462" s="185">
        <f t="shared" si="67"/>
        <v>6</v>
      </c>
      <c r="CA462" s="185">
        <f t="shared" si="67"/>
        <v>6</v>
      </c>
      <c r="CB462" s="185">
        <f t="shared" si="67"/>
        <v>6</v>
      </c>
      <c r="CC462" s="185">
        <f t="shared" si="67"/>
        <v>6</v>
      </c>
      <c r="CD462" s="185">
        <f t="shared" si="67"/>
        <v>6</v>
      </c>
      <c r="CE462" s="185">
        <f t="shared" si="67"/>
        <v>6</v>
      </c>
      <c r="CF462" s="185">
        <f t="shared" si="67"/>
        <v>6</v>
      </c>
      <c r="CG462" s="185">
        <f t="shared" si="67"/>
        <v>6</v>
      </c>
      <c r="CH462" s="185">
        <f t="shared" si="67"/>
        <v>6</v>
      </c>
      <c r="CI462" s="185">
        <f t="shared" si="67"/>
        <v>6</v>
      </c>
      <c r="CJ462" s="185">
        <f t="shared" si="67"/>
        <v>6</v>
      </c>
      <c r="CK462" s="185">
        <f t="shared" si="67"/>
        <v>6</v>
      </c>
      <c r="CL462" s="185">
        <f t="shared" si="67"/>
        <v>6</v>
      </c>
      <c r="CM462" s="185"/>
      <c r="CN462" s="185">
        <f t="shared" si="67"/>
        <v>6</v>
      </c>
      <c r="CO462" s="185">
        <f t="shared" si="67"/>
        <v>6</v>
      </c>
      <c r="CP462" s="185">
        <f t="shared" si="67"/>
        <v>6</v>
      </c>
      <c r="CQ462" s="185">
        <f t="shared" si="67"/>
        <v>6</v>
      </c>
      <c r="CR462" s="185"/>
      <c r="CS462" s="185">
        <f>SMALL(CS452:CS456,5)</f>
        <v>12</v>
      </c>
      <c r="CT462" s="185">
        <f>SMALL(CT452:CT456,5)</f>
        <v>6</v>
      </c>
      <c r="CU462" s="185">
        <f>SMALL(CU452:CU456,5)</f>
        <v>5</v>
      </c>
      <c r="CV462" s="185">
        <f>SMALL(CV452:CV456,5)</f>
        <v>6</v>
      </c>
      <c r="CW462" s="185"/>
      <c r="CX462" s="185">
        <f t="shared" ref="CX462:DD462" si="68">SMALL(CX452:CX456,5)</f>
        <v>9</v>
      </c>
      <c r="CY462" s="185">
        <f t="shared" si="68"/>
        <v>6</v>
      </c>
      <c r="CZ462" s="185">
        <f t="shared" si="68"/>
        <v>6</v>
      </c>
      <c r="DA462" s="185">
        <f t="shared" si="68"/>
        <v>12</v>
      </c>
      <c r="DB462" s="185">
        <f t="shared" si="68"/>
        <v>6</v>
      </c>
      <c r="DC462" s="185">
        <f t="shared" si="68"/>
        <v>6</v>
      </c>
      <c r="DD462" s="185">
        <f t="shared" si="68"/>
        <v>6</v>
      </c>
      <c r="DE462" s="185"/>
    </row>
  </sheetData>
  <sheetProtection selectLockedCells="1" selectUnlockedCells="1"/>
  <dataConsolidate/>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Roman,Normaali"&amp;12&amp;A</oddHeader>
    <oddFooter>&amp;C&amp;"Times New Roman,Normaali"&amp;12Sivu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52"/>
  <sheetViews>
    <sheetView workbookViewId="0">
      <selection activeCell="B35" sqref="B35"/>
    </sheetView>
  </sheetViews>
  <sheetFormatPr defaultColWidth="6.5703125" defaultRowHeight="9.75" x14ac:dyDescent="0.2"/>
  <cols>
    <col min="1" max="2" width="10.85546875" style="174" customWidth="1"/>
    <col min="3" max="16384" width="6.5703125" style="174"/>
  </cols>
  <sheetData>
    <row r="1" spans="1:28" x14ac:dyDescent="0.2">
      <c r="H1" s="174" t="s">
        <v>208</v>
      </c>
    </row>
    <row r="2" spans="1:28" x14ac:dyDescent="0.2">
      <c r="A2" s="174" t="s">
        <v>3519</v>
      </c>
      <c r="B2" s="174" t="s">
        <v>3520</v>
      </c>
      <c r="G2" s="174" t="s">
        <v>1163</v>
      </c>
      <c r="H2" s="174" t="s">
        <v>895</v>
      </c>
      <c r="I2" s="174" t="s">
        <v>4171</v>
      </c>
      <c r="J2" s="174" t="s">
        <v>960</v>
      </c>
      <c r="K2" s="174" t="s">
        <v>3521</v>
      </c>
      <c r="L2" s="174" t="s">
        <v>900</v>
      </c>
      <c r="M2" s="174" t="s">
        <v>907</v>
      </c>
      <c r="N2" s="174" t="s">
        <v>1034</v>
      </c>
      <c r="O2" s="174" t="s">
        <v>936</v>
      </c>
      <c r="P2" s="174" t="s">
        <v>1013</v>
      </c>
      <c r="Q2" s="174" t="s">
        <v>1011</v>
      </c>
      <c r="R2" s="174" t="s">
        <v>975</v>
      </c>
      <c r="S2" s="174" t="s">
        <v>911</v>
      </c>
      <c r="T2" s="174" t="s">
        <v>906</v>
      </c>
      <c r="U2" s="174" t="s">
        <v>4172</v>
      </c>
      <c r="V2" s="174" t="s">
        <v>4173</v>
      </c>
      <c r="W2" s="174" t="s">
        <v>1054</v>
      </c>
      <c r="X2" s="174" t="s">
        <v>961</v>
      </c>
      <c r="Y2" s="174" t="s">
        <v>962</v>
      </c>
      <c r="Z2" s="174" t="s">
        <v>3522</v>
      </c>
      <c r="AA2" s="174" t="s">
        <v>3523</v>
      </c>
      <c r="AB2" s="174" t="s">
        <v>3524</v>
      </c>
    </row>
    <row r="3" spans="1:28" x14ac:dyDescent="0.2">
      <c r="A3" s="174">
        <v>14.99</v>
      </c>
      <c r="B3" s="185" t="s">
        <v>3525</v>
      </c>
      <c r="C3" s="185"/>
      <c r="D3" s="185"/>
      <c r="E3" s="185"/>
      <c r="F3" s="223"/>
      <c r="G3" s="185">
        <v>1</v>
      </c>
      <c r="H3" s="185">
        <v>2</v>
      </c>
      <c r="I3" s="223">
        <v>3</v>
      </c>
      <c r="J3" s="185">
        <v>4</v>
      </c>
      <c r="K3" s="223">
        <v>5</v>
      </c>
      <c r="L3" s="185">
        <v>6</v>
      </c>
      <c r="M3" s="223">
        <v>7</v>
      </c>
      <c r="N3" s="185">
        <v>8</v>
      </c>
      <c r="O3" s="223">
        <v>9</v>
      </c>
      <c r="P3" s="185">
        <v>10</v>
      </c>
      <c r="Q3" s="223">
        <v>11</v>
      </c>
      <c r="R3" s="185">
        <v>12</v>
      </c>
      <c r="S3" s="223">
        <v>13</v>
      </c>
      <c r="T3" s="185">
        <v>14</v>
      </c>
      <c r="U3" s="223">
        <v>15</v>
      </c>
      <c r="V3" s="185">
        <v>16</v>
      </c>
      <c r="W3" s="223">
        <v>17</v>
      </c>
      <c r="X3" s="185">
        <v>18</v>
      </c>
      <c r="Y3" s="174">
        <v>19</v>
      </c>
      <c r="Z3" s="174">
        <v>20</v>
      </c>
      <c r="AA3" s="174">
        <v>21</v>
      </c>
      <c r="AB3" s="174">
        <v>22</v>
      </c>
    </row>
    <row r="4" spans="1:28" x14ac:dyDescent="0.2">
      <c r="A4" s="174">
        <v>15.99</v>
      </c>
      <c r="B4" s="174" t="s">
        <v>3526</v>
      </c>
      <c r="C4" s="204"/>
      <c r="D4" s="204"/>
      <c r="E4" s="204"/>
      <c r="F4" s="205">
        <v>1</v>
      </c>
      <c r="G4" s="174">
        <v>-5000</v>
      </c>
      <c r="H4" s="204">
        <f t="shared" ref="H4:AB16" si="0">H5-0.0254</f>
        <v>1.2245999999999999</v>
      </c>
      <c r="I4" s="204">
        <f t="shared" si="0"/>
        <v>1.6497999999999988</v>
      </c>
      <c r="J4" s="204">
        <f t="shared" si="0"/>
        <v>0.6998000000000002</v>
      </c>
      <c r="K4" s="204">
        <f t="shared" si="0"/>
        <v>1.4197999999999988</v>
      </c>
      <c r="L4" s="204">
        <f t="shared" si="0"/>
        <v>1.4997999999999989</v>
      </c>
      <c r="M4" s="204">
        <f t="shared" si="0"/>
        <v>1.3197999999999988</v>
      </c>
      <c r="N4" s="204">
        <f t="shared" si="0"/>
        <v>1.2997999999999987</v>
      </c>
      <c r="O4" s="204">
        <f t="shared" si="0"/>
        <v>1.5697999999999988</v>
      </c>
      <c r="P4" s="204">
        <f t="shared" si="0"/>
        <v>0.86979999999999946</v>
      </c>
      <c r="Q4" s="204">
        <f t="shared" si="0"/>
        <v>2.9698000000000015</v>
      </c>
      <c r="R4" s="204">
        <f t="shared" si="0"/>
        <v>1.2245999999999999</v>
      </c>
      <c r="S4" s="204">
        <f t="shared" si="0"/>
        <v>1.2245999999999999</v>
      </c>
      <c r="T4" s="204">
        <f t="shared" si="0"/>
        <v>1.2997999999999987</v>
      </c>
      <c r="U4" s="204">
        <f t="shared" si="0"/>
        <v>1.599799999999999</v>
      </c>
      <c r="V4" s="204">
        <f t="shared" si="0"/>
        <v>1.4697999999999989</v>
      </c>
      <c r="W4" s="204">
        <f t="shared" si="0"/>
        <v>1.5497999999999987</v>
      </c>
      <c r="X4" s="204">
        <f t="shared" si="0"/>
        <v>0.74980000000000002</v>
      </c>
      <c r="Y4" s="204">
        <f t="shared" si="0"/>
        <v>0.79979999999999962</v>
      </c>
      <c r="Z4" s="204">
        <f t="shared" si="0"/>
        <v>1.3197999999999988</v>
      </c>
      <c r="AA4" s="204">
        <f t="shared" si="0"/>
        <v>1.7997999999999998</v>
      </c>
      <c r="AB4" s="204">
        <f t="shared" si="0"/>
        <v>1.369799999999999</v>
      </c>
    </row>
    <row r="5" spans="1:28" x14ac:dyDescent="0.2">
      <c r="A5" s="174">
        <v>18.489999999999998</v>
      </c>
      <c r="B5" s="174" t="s">
        <v>3527</v>
      </c>
      <c r="C5" s="204"/>
      <c r="D5" s="204"/>
      <c r="E5" s="204"/>
      <c r="F5" s="205">
        <v>2</v>
      </c>
      <c r="G5" s="174">
        <v>-190</v>
      </c>
      <c r="H5" s="204">
        <v>1.25</v>
      </c>
      <c r="I5" s="204">
        <f t="shared" si="0"/>
        <v>1.6751999999999989</v>
      </c>
      <c r="J5" s="204">
        <f t="shared" si="0"/>
        <v>0.72520000000000018</v>
      </c>
      <c r="K5" s="204">
        <f t="shared" si="0"/>
        <v>1.4451999999999989</v>
      </c>
      <c r="L5" s="204">
        <f t="shared" si="0"/>
        <v>1.525199999999999</v>
      </c>
      <c r="M5" s="204">
        <f t="shared" si="0"/>
        <v>1.3451999999999988</v>
      </c>
      <c r="N5" s="204">
        <f t="shared" si="0"/>
        <v>1.3251999999999988</v>
      </c>
      <c r="O5" s="204">
        <f t="shared" si="0"/>
        <v>1.5951999999999988</v>
      </c>
      <c r="P5" s="204">
        <f t="shared" si="0"/>
        <v>0.89519999999999944</v>
      </c>
      <c r="Q5" s="204">
        <f t="shared" si="0"/>
        <v>2.9952000000000014</v>
      </c>
      <c r="R5" s="204">
        <v>1.25</v>
      </c>
      <c r="S5" s="204">
        <v>1.25</v>
      </c>
      <c r="T5" s="204">
        <f t="shared" si="0"/>
        <v>1.3251999999999988</v>
      </c>
      <c r="U5" s="204">
        <f t="shared" si="0"/>
        <v>1.6251999999999991</v>
      </c>
      <c r="V5" s="204">
        <f t="shared" si="0"/>
        <v>1.495199999999999</v>
      </c>
      <c r="W5" s="204">
        <f t="shared" si="0"/>
        <v>1.5751999999999988</v>
      </c>
      <c r="X5" s="204">
        <f t="shared" si="0"/>
        <v>0.7752</v>
      </c>
      <c r="Y5" s="204">
        <f t="shared" si="0"/>
        <v>0.8251999999999996</v>
      </c>
      <c r="Z5" s="204">
        <f t="shared" si="0"/>
        <v>1.3451999999999988</v>
      </c>
      <c r="AA5" s="204">
        <f t="shared" si="0"/>
        <v>1.8251999999999999</v>
      </c>
      <c r="AB5" s="204">
        <f t="shared" si="0"/>
        <v>1.3951999999999991</v>
      </c>
    </row>
    <row r="6" spans="1:28" x14ac:dyDescent="0.2">
      <c r="A6" s="174">
        <v>24.99</v>
      </c>
      <c r="B6" s="174" t="s">
        <v>206</v>
      </c>
      <c r="C6" s="204"/>
      <c r="D6" s="204"/>
      <c r="E6" s="204"/>
      <c r="F6" s="205">
        <v>3</v>
      </c>
      <c r="G6" s="174">
        <v>-180</v>
      </c>
      <c r="H6" s="204">
        <f>H7-0.0254</f>
        <v>1.2545999999999999</v>
      </c>
      <c r="I6" s="204">
        <f t="shared" si="0"/>
        <v>1.700599999999999</v>
      </c>
      <c r="J6" s="204">
        <f t="shared" si="0"/>
        <v>0.75060000000000016</v>
      </c>
      <c r="K6" s="204">
        <f t="shared" si="0"/>
        <v>1.470599999999999</v>
      </c>
      <c r="L6" s="204">
        <f t="shared" si="0"/>
        <v>1.5505999999999991</v>
      </c>
      <c r="M6" s="204">
        <f t="shared" si="0"/>
        <v>1.3705999999999989</v>
      </c>
      <c r="N6" s="204">
        <f t="shared" si="0"/>
        <v>1.3505999999999989</v>
      </c>
      <c r="O6" s="204">
        <f t="shared" si="0"/>
        <v>1.6205999999999989</v>
      </c>
      <c r="P6" s="204">
        <f t="shared" si="0"/>
        <v>0.92059999999999942</v>
      </c>
      <c r="Q6" s="204">
        <f t="shared" si="0"/>
        <v>3.0206000000000013</v>
      </c>
      <c r="R6" s="204">
        <f>R7-0.0254</f>
        <v>1.2545999999999999</v>
      </c>
      <c r="S6" s="204">
        <f>S7-0.0254</f>
        <v>1.2545999999999999</v>
      </c>
      <c r="T6" s="204">
        <f t="shared" si="0"/>
        <v>1.3505999999999989</v>
      </c>
      <c r="U6" s="204">
        <f t="shared" si="0"/>
        <v>1.6505999999999992</v>
      </c>
      <c r="V6" s="204">
        <f t="shared" si="0"/>
        <v>1.5205999999999991</v>
      </c>
      <c r="W6" s="204">
        <f t="shared" si="0"/>
        <v>1.6005999999999989</v>
      </c>
      <c r="X6" s="204">
        <f t="shared" si="0"/>
        <v>0.80059999999999998</v>
      </c>
      <c r="Y6" s="204">
        <f t="shared" si="0"/>
        <v>0.85059999999999958</v>
      </c>
      <c r="Z6" s="204">
        <f t="shared" si="0"/>
        <v>1.3705999999999989</v>
      </c>
      <c r="AA6" s="204">
        <f t="shared" si="0"/>
        <v>1.8506</v>
      </c>
      <c r="AB6" s="204">
        <f t="shared" si="0"/>
        <v>1.4205999999999992</v>
      </c>
    </row>
    <row r="7" spans="1:28" x14ac:dyDescent="0.2">
      <c r="A7" s="174">
        <v>29.99</v>
      </c>
      <c r="B7" s="174" t="s">
        <v>3528</v>
      </c>
      <c r="C7" s="204"/>
      <c r="D7" s="204"/>
      <c r="E7" s="204"/>
      <c r="F7" s="205">
        <v>4</v>
      </c>
      <c r="G7" s="174">
        <v>-160</v>
      </c>
      <c r="H7" s="204">
        <v>1.28</v>
      </c>
      <c r="I7" s="204">
        <f t="shared" si="0"/>
        <v>1.7259999999999991</v>
      </c>
      <c r="J7" s="204">
        <f t="shared" si="0"/>
        <v>0.77600000000000013</v>
      </c>
      <c r="K7" s="204">
        <f t="shared" si="0"/>
        <v>1.4959999999999991</v>
      </c>
      <c r="L7" s="204">
        <f t="shared" si="0"/>
        <v>1.5759999999999992</v>
      </c>
      <c r="M7" s="204">
        <f t="shared" si="0"/>
        <v>1.395999999999999</v>
      </c>
      <c r="N7" s="204">
        <f t="shared" si="0"/>
        <v>1.375999999999999</v>
      </c>
      <c r="O7" s="204">
        <f t="shared" si="0"/>
        <v>1.645999999999999</v>
      </c>
      <c r="P7" s="204">
        <f t="shared" si="0"/>
        <v>0.9459999999999994</v>
      </c>
      <c r="Q7" s="204">
        <f t="shared" si="0"/>
        <v>3.0460000000000012</v>
      </c>
      <c r="R7" s="204">
        <v>1.28</v>
      </c>
      <c r="S7" s="204">
        <v>1.28</v>
      </c>
      <c r="T7" s="204">
        <f t="shared" si="0"/>
        <v>1.375999999999999</v>
      </c>
      <c r="U7" s="204">
        <f t="shared" si="0"/>
        <v>1.6759999999999993</v>
      </c>
      <c r="V7" s="204">
        <f t="shared" si="0"/>
        <v>1.5459999999999992</v>
      </c>
      <c r="W7" s="204">
        <f t="shared" si="0"/>
        <v>1.625999999999999</v>
      </c>
      <c r="X7" s="204">
        <f t="shared" si="0"/>
        <v>0.82599999999999996</v>
      </c>
      <c r="Y7" s="204">
        <f t="shared" si="0"/>
        <v>0.87599999999999956</v>
      </c>
      <c r="Z7" s="204">
        <f t="shared" si="0"/>
        <v>1.395999999999999</v>
      </c>
      <c r="AA7" s="204">
        <f t="shared" si="0"/>
        <v>1.8760000000000001</v>
      </c>
      <c r="AB7" s="204">
        <f t="shared" si="0"/>
        <v>1.4459999999999993</v>
      </c>
    </row>
    <row r="8" spans="1:28" x14ac:dyDescent="0.2">
      <c r="A8" s="174">
        <v>34.99</v>
      </c>
      <c r="B8" s="174" t="s">
        <v>3529</v>
      </c>
      <c r="C8" s="204"/>
      <c r="D8" s="204"/>
      <c r="E8" s="204"/>
      <c r="F8" s="205">
        <v>5</v>
      </c>
      <c r="G8" s="174">
        <v>-90</v>
      </c>
      <c r="H8" s="204">
        <f>H9-0.0254</f>
        <v>1.2846</v>
      </c>
      <c r="I8" s="204">
        <f t="shared" si="0"/>
        <v>1.7513999999999992</v>
      </c>
      <c r="J8" s="204">
        <f t="shared" si="0"/>
        <v>0.80140000000000011</v>
      </c>
      <c r="K8" s="204">
        <f t="shared" si="0"/>
        <v>1.5213999999999992</v>
      </c>
      <c r="L8" s="204">
        <f t="shared" si="0"/>
        <v>1.6013999999999993</v>
      </c>
      <c r="M8" s="204">
        <f t="shared" si="0"/>
        <v>1.4213999999999991</v>
      </c>
      <c r="N8" s="204">
        <f t="shared" si="0"/>
        <v>1.4013999999999991</v>
      </c>
      <c r="O8" s="204">
        <f t="shared" si="0"/>
        <v>1.6713999999999991</v>
      </c>
      <c r="P8" s="204">
        <f t="shared" si="0"/>
        <v>0.97139999999999938</v>
      </c>
      <c r="Q8" s="204">
        <f t="shared" si="0"/>
        <v>3.071400000000001</v>
      </c>
      <c r="R8" s="204">
        <f>R9-0.0254</f>
        <v>1.2846</v>
      </c>
      <c r="S8" s="204">
        <f>S9-0.0254</f>
        <v>1.2846</v>
      </c>
      <c r="T8" s="204">
        <f t="shared" si="0"/>
        <v>1.4013999999999991</v>
      </c>
      <c r="U8" s="204">
        <f t="shared" si="0"/>
        <v>1.7013999999999994</v>
      </c>
      <c r="V8" s="204">
        <f t="shared" si="0"/>
        <v>1.5713999999999992</v>
      </c>
      <c r="W8" s="204">
        <f t="shared" si="0"/>
        <v>1.6513999999999991</v>
      </c>
      <c r="X8" s="204">
        <f t="shared" si="0"/>
        <v>0.85139999999999993</v>
      </c>
      <c r="Y8" s="204">
        <f t="shared" si="0"/>
        <v>0.90139999999999953</v>
      </c>
      <c r="Z8" s="204">
        <f t="shared" si="0"/>
        <v>1.4213999999999991</v>
      </c>
      <c r="AA8" s="204">
        <f t="shared" si="0"/>
        <v>1.9014000000000002</v>
      </c>
      <c r="AB8" s="204">
        <f t="shared" si="0"/>
        <v>1.4713999999999994</v>
      </c>
    </row>
    <row r="9" spans="1:28" x14ac:dyDescent="0.2">
      <c r="A9" s="174">
        <v>39.99</v>
      </c>
      <c r="B9" s="174" t="s">
        <v>3530</v>
      </c>
      <c r="C9" s="204"/>
      <c r="D9" s="204"/>
      <c r="E9" s="204"/>
      <c r="F9" s="205">
        <v>6</v>
      </c>
      <c r="G9" s="174">
        <v>-80</v>
      </c>
      <c r="H9" s="204">
        <v>1.31</v>
      </c>
      <c r="I9" s="204">
        <f t="shared" si="0"/>
        <v>1.7767999999999993</v>
      </c>
      <c r="J9" s="204">
        <f t="shared" si="0"/>
        <v>0.82680000000000009</v>
      </c>
      <c r="K9" s="204">
        <f t="shared" si="0"/>
        <v>1.5467999999999993</v>
      </c>
      <c r="L9" s="204">
        <f t="shared" si="0"/>
        <v>1.6267999999999994</v>
      </c>
      <c r="M9" s="204">
        <f t="shared" si="0"/>
        <v>1.4467999999999992</v>
      </c>
      <c r="N9" s="204">
        <f t="shared" si="0"/>
        <v>1.4267999999999992</v>
      </c>
      <c r="O9" s="204">
        <f t="shared" si="0"/>
        <v>1.6967999999999992</v>
      </c>
      <c r="P9" s="204">
        <f t="shared" si="0"/>
        <v>0.99679999999999935</v>
      </c>
      <c r="Q9" s="204">
        <f t="shared" si="0"/>
        <v>3.0968000000000009</v>
      </c>
      <c r="R9" s="204">
        <v>1.31</v>
      </c>
      <c r="S9" s="204">
        <v>1.31</v>
      </c>
      <c r="T9" s="204">
        <f t="shared" si="0"/>
        <v>1.4267999999999992</v>
      </c>
      <c r="U9" s="204">
        <f t="shared" si="0"/>
        <v>1.7267999999999994</v>
      </c>
      <c r="V9" s="204">
        <f t="shared" si="0"/>
        <v>1.5967999999999993</v>
      </c>
      <c r="W9" s="204">
        <f t="shared" si="0"/>
        <v>1.6767999999999992</v>
      </c>
      <c r="X9" s="204">
        <f t="shared" si="0"/>
        <v>0.87679999999999991</v>
      </c>
      <c r="Y9" s="204">
        <f t="shared" si="0"/>
        <v>0.92679999999999951</v>
      </c>
      <c r="Z9" s="204">
        <f t="shared" si="0"/>
        <v>1.4467999999999992</v>
      </c>
      <c r="AA9" s="204">
        <f t="shared" si="0"/>
        <v>1.9268000000000003</v>
      </c>
      <c r="AB9" s="204">
        <f t="shared" si="0"/>
        <v>1.4967999999999995</v>
      </c>
    </row>
    <row r="10" spans="1:28" x14ac:dyDescent="0.2">
      <c r="C10" s="204"/>
      <c r="D10" s="204"/>
      <c r="E10" s="204"/>
      <c r="F10" s="205">
        <v>7</v>
      </c>
      <c r="G10" s="174">
        <v>-65</v>
      </c>
      <c r="H10" s="204">
        <f>H11-0.0254</f>
        <v>1.3146</v>
      </c>
      <c r="I10" s="204">
        <f t="shared" si="0"/>
        <v>1.8021999999999994</v>
      </c>
      <c r="J10" s="204">
        <f t="shared" si="0"/>
        <v>0.85220000000000007</v>
      </c>
      <c r="K10" s="204">
        <f t="shared" si="0"/>
        <v>1.5721999999999994</v>
      </c>
      <c r="L10" s="204">
        <f t="shared" si="0"/>
        <v>1.6521999999999994</v>
      </c>
      <c r="M10" s="204">
        <f t="shared" si="0"/>
        <v>1.4721999999999993</v>
      </c>
      <c r="N10" s="204">
        <f t="shared" si="0"/>
        <v>1.4521999999999993</v>
      </c>
      <c r="O10" s="204">
        <f t="shared" si="0"/>
        <v>1.7221999999999993</v>
      </c>
      <c r="P10" s="204">
        <f t="shared" si="0"/>
        <v>1.0221999999999993</v>
      </c>
      <c r="Q10" s="204">
        <f t="shared" si="0"/>
        <v>3.1222000000000008</v>
      </c>
      <c r="R10" s="204">
        <f>R11-0.0254</f>
        <v>1.3146</v>
      </c>
      <c r="S10" s="204">
        <f>S11-0.0254</f>
        <v>1.3146</v>
      </c>
      <c r="T10" s="204">
        <f t="shared" si="0"/>
        <v>1.4521999999999993</v>
      </c>
      <c r="U10" s="204">
        <f t="shared" si="0"/>
        <v>1.7521999999999995</v>
      </c>
      <c r="V10" s="204">
        <f t="shared" si="0"/>
        <v>1.6221999999999994</v>
      </c>
      <c r="W10" s="204">
        <f t="shared" si="0"/>
        <v>1.7021999999999993</v>
      </c>
      <c r="X10" s="204">
        <f t="shared" si="0"/>
        <v>0.90219999999999989</v>
      </c>
      <c r="Y10" s="204">
        <f t="shared" si="0"/>
        <v>0.95219999999999949</v>
      </c>
      <c r="Z10" s="204">
        <f t="shared" si="0"/>
        <v>1.4721999999999993</v>
      </c>
      <c r="AA10" s="204">
        <f t="shared" si="0"/>
        <v>1.9522000000000004</v>
      </c>
      <c r="AB10" s="204">
        <f t="shared" si="0"/>
        <v>1.5221999999999996</v>
      </c>
    </row>
    <row r="11" spans="1:28" x14ac:dyDescent="0.2">
      <c r="C11" s="204"/>
      <c r="D11" s="204"/>
      <c r="E11" s="204"/>
      <c r="F11" s="205">
        <v>8</v>
      </c>
      <c r="G11" s="174">
        <v>-40</v>
      </c>
      <c r="H11" s="204">
        <v>1.34</v>
      </c>
      <c r="I11" s="204">
        <f t="shared" si="0"/>
        <v>1.8275999999999994</v>
      </c>
      <c r="J11" s="204">
        <f t="shared" si="0"/>
        <v>0.87760000000000005</v>
      </c>
      <c r="K11" s="204">
        <f t="shared" si="0"/>
        <v>1.5975999999999995</v>
      </c>
      <c r="L11" s="204">
        <f t="shared" si="0"/>
        <v>1.6775999999999995</v>
      </c>
      <c r="M11" s="204">
        <f t="shared" si="0"/>
        <v>1.4975999999999994</v>
      </c>
      <c r="N11" s="204">
        <f t="shared" si="0"/>
        <v>1.4775999999999994</v>
      </c>
      <c r="O11" s="204">
        <f t="shared" si="0"/>
        <v>1.7475999999999994</v>
      </c>
      <c r="P11" s="204">
        <f t="shared" si="0"/>
        <v>1.0475999999999994</v>
      </c>
      <c r="Q11" s="204">
        <f t="shared" si="0"/>
        <v>3.1476000000000006</v>
      </c>
      <c r="R11" s="204">
        <v>1.34</v>
      </c>
      <c r="S11" s="204">
        <v>1.34</v>
      </c>
      <c r="T11" s="204">
        <f t="shared" si="0"/>
        <v>1.4775999999999994</v>
      </c>
      <c r="U11" s="204">
        <f t="shared" si="0"/>
        <v>1.7775999999999996</v>
      </c>
      <c r="V11" s="204">
        <f t="shared" si="0"/>
        <v>1.6475999999999995</v>
      </c>
      <c r="W11" s="204">
        <f t="shared" si="0"/>
        <v>1.7275999999999994</v>
      </c>
      <c r="X11" s="204">
        <f t="shared" si="0"/>
        <v>0.92759999999999987</v>
      </c>
      <c r="Y11" s="204">
        <f t="shared" si="0"/>
        <v>0.97759999999999947</v>
      </c>
      <c r="Z11" s="204">
        <f t="shared" si="0"/>
        <v>1.4975999999999994</v>
      </c>
      <c r="AA11" s="204">
        <f t="shared" si="0"/>
        <v>1.9776000000000005</v>
      </c>
      <c r="AB11" s="204">
        <f t="shared" si="0"/>
        <v>1.5475999999999996</v>
      </c>
    </row>
    <row r="12" spans="1:28" x14ac:dyDescent="0.2">
      <c r="C12" s="204"/>
      <c r="D12" s="204"/>
      <c r="E12" s="204"/>
      <c r="F12" s="205">
        <v>9</v>
      </c>
      <c r="G12" s="174">
        <v>6</v>
      </c>
      <c r="H12" s="204">
        <f>H13-0.0254</f>
        <v>1.3446</v>
      </c>
      <c r="I12" s="204">
        <f t="shared" si="0"/>
        <v>1.8529999999999995</v>
      </c>
      <c r="J12" s="204">
        <f t="shared" si="0"/>
        <v>0.90300000000000002</v>
      </c>
      <c r="K12" s="204">
        <f t="shared" si="0"/>
        <v>1.6229999999999996</v>
      </c>
      <c r="L12" s="204">
        <f t="shared" si="0"/>
        <v>1.7029999999999996</v>
      </c>
      <c r="M12" s="204">
        <f t="shared" si="0"/>
        <v>1.5229999999999995</v>
      </c>
      <c r="N12" s="204">
        <f t="shared" si="0"/>
        <v>1.5029999999999994</v>
      </c>
      <c r="O12" s="204">
        <f t="shared" si="0"/>
        <v>1.7729999999999995</v>
      </c>
      <c r="P12" s="204">
        <f t="shared" si="0"/>
        <v>1.0729999999999995</v>
      </c>
      <c r="Q12" s="204">
        <f t="shared" si="0"/>
        <v>3.1730000000000005</v>
      </c>
      <c r="R12" s="204">
        <f>R13-0.0254</f>
        <v>1.3446</v>
      </c>
      <c r="S12" s="204">
        <f>S13-0.0254</f>
        <v>1.3446</v>
      </c>
      <c r="T12" s="204">
        <f t="shared" si="0"/>
        <v>1.5029999999999994</v>
      </c>
      <c r="U12" s="204">
        <f t="shared" si="0"/>
        <v>1.8029999999999997</v>
      </c>
      <c r="V12" s="204">
        <f t="shared" si="0"/>
        <v>1.6729999999999996</v>
      </c>
      <c r="W12" s="204">
        <f t="shared" si="0"/>
        <v>1.7529999999999994</v>
      </c>
      <c r="X12" s="204">
        <f t="shared" si="0"/>
        <v>0.95299999999999985</v>
      </c>
      <c r="Y12" s="204">
        <f t="shared" si="0"/>
        <v>1.0029999999999994</v>
      </c>
      <c r="Z12" s="204">
        <f t="shared" si="0"/>
        <v>1.5229999999999995</v>
      </c>
      <c r="AA12" s="204">
        <f t="shared" si="0"/>
        <v>2.0030000000000006</v>
      </c>
      <c r="AB12" s="204">
        <f t="shared" si="0"/>
        <v>1.5729999999999997</v>
      </c>
    </row>
    <row r="13" spans="1:28" x14ac:dyDescent="0.2">
      <c r="C13" s="204"/>
      <c r="D13" s="204"/>
      <c r="E13" s="204"/>
      <c r="F13" s="205">
        <v>10</v>
      </c>
      <c r="G13" s="174">
        <v>9</v>
      </c>
      <c r="H13" s="204">
        <v>1.37</v>
      </c>
      <c r="I13" s="204">
        <f t="shared" si="0"/>
        <v>1.8783999999999996</v>
      </c>
      <c r="J13" s="204">
        <f t="shared" si="0"/>
        <v>0.9284</v>
      </c>
      <c r="K13" s="204">
        <f t="shared" si="0"/>
        <v>1.6483999999999996</v>
      </c>
      <c r="L13" s="204">
        <f t="shared" si="0"/>
        <v>1.7283999999999997</v>
      </c>
      <c r="M13" s="204">
        <f t="shared" si="0"/>
        <v>1.5483999999999996</v>
      </c>
      <c r="N13" s="204">
        <f t="shared" si="0"/>
        <v>1.5283999999999995</v>
      </c>
      <c r="O13" s="204">
        <f t="shared" si="0"/>
        <v>1.7983999999999996</v>
      </c>
      <c r="P13" s="204">
        <f t="shared" si="0"/>
        <v>1.0983999999999996</v>
      </c>
      <c r="Q13" s="204">
        <f t="shared" si="0"/>
        <v>3.1984000000000004</v>
      </c>
      <c r="R13" s="204">
        <v>1.37</v>
      </c>
      <c r="S13" s="204">
        <v>1.37</v>
      </c>
      <c r="T13" s="204">
        <f t="shared" si="0"/>
        <v>1.5283999999999995</v>
      </c>
      <c r="U13" s="204">
        <f t="shared" si="0"/>
        <v>1.8283999999999998</v>
      </c>
      <c r="V13" s="204">
        <f t="shared" si="0"/>
        <v>1.6983999999999997</v>
      </c>
      <c r="W13" s="204">
        <f t="shared" si="0"/>
        <v>1.7783999999999995</v>
      </c>
      <c r="X13" s="204">
        <f t="shared" si="0"/>
        <v>0.97839999999999983</v>
      </c>
      <c r="Y13" s="204">
        <f t="shared" si="0"/>
        <v>1.0283999999999995</v>
      </c>
      <c r="Z13" s="204">
        <f t="shared" si="0"/>
        <v>1.5483999999999996</v>
      </c>
      <c r="AA13" s="204">
        <f t="shared" si="0"/>
        <v>2.0284000000000004</v>
      </c>
      <c r="AB13" s="204">
        <f t="shared" si="0"/>
        <v>1.5983999999999998</v>
      </c>
    </row>
    <row r="14" spans="1:28" x14ac:dyDescent="0.2">
      <c r="C14" s="204"/>
      <c r="D14" s="204"/>
      <c r="E14" s="204"/>
      <c r="F14" s="205">
        <v>11</v>
      </c>
      <c r="G14" s="174">
        <v>15</v>
      </c>
      <c r="H14" s="204">
        <f>H15-0.0254</f>
        <v>1.3745999999999998</v>
      </c>
      <c r="I14" s="204">
        <f t="shared" si="0"/>
        <v>1.9037999999999997</v>
      </c>
      <c r="J14" s="204">
        <f t="shared" si="0"/>
        <v>0.95379999999999998</v>
      </c>
      <c r="K14" s="204">
        <f t="shared" si="0"/>
        <v>1.6737999999999997</v>
      </c>
      <c r="L14" s="204">
        <f t="shared" si="0"/>
        <v>1.7537999999999998</v>
      </c>
      <c r="M14" s="204">
        <f t="shared" si="0"/>
        <v>1.5737999999999996</v>
      </c>
      <c r="N14" s="204">
        <f t="shared" si="0"/>
        <v>1.5537999999999996</v>
      </c>
      <c r="O14" s="204">
        <f t="shared" si="0"/>
        <v>1.8237999999999996</v>
      </c>
      <c r="P14" s="204">
        <f t="shared" si="0"/>
        <v>1.1237999999999997</v>
      </c>
      <c r="Q14" s="204">
        <f t="shared" si="0"/>
        <v>3.2238000000000002</v>
      </c>
      <c r="R14" s="204">
        <f>R15-0.0254</f>
        <v>1.3745999999999998</v>
      </c>
      <c r="S14" s="204">
        <f>S15-0.0254</f>
        <v>1.3745999999999998</v>
      </c>
      <c r="T14" s="204">
        <f t="shared" si="0"/>
        <v>1.5537999999999996</v>
      </c>
      <c r="U14" s="204">
        <f t="shared" si="0"/>
        <v>1.8537999999999999</v>
      </c>
      <c r="V14" s="204">
        <f t="shared" si="0"/>
        <v>1.7237999999999998</v>
      </c>
      <c r="W14" s="204">
        <f t="shared" si="0"/>
        <v>1.8037999999999996</v>
      </c>
      <c r="X14" s="204">
        <f t="shared" si="0"/>
        <v>1.0037999999999998</v>
      </c>
      <c r="Y14" s="204">
        <f t="shared" si="0"/>
        <v>1.0537999999999996</v>
      </c>
      <c r="Z14" s="204">
        <f t="shared" si="0"/>
        <v>1.5737999999999996</v>
      </c>
      <c r="AA14" s="204">
        <f t="shared" si="0"/>
        <v>2.0538000000000003</v>
      </c>
      <c r="AB14" s="204">
        <f t="shared" si="0"/>
        <v>1.6237999999999999</v>
      </c>
    </row>
    <row r="15" spans="1:28" x14ac:dyDescent="0.2">
      <c r="C15" s="204"/>
      <c r="D15" s="204"/>
      <c r="E15" s="204"/>
      <c r="F15" s="205">
        <v>12</v>
      </c>
      <c r="G15" s="174">
        <v>24</v>
      </c>
      <c r="H15" s="204">
        <v>1.4</v>
      </c>
      <c r="I15" s="204">
        <f t="shared" si="0"/>
        <v>1.9291999999999998</v>
      </c>
      <c r="J15" s="204">
        <f t="shared" si="0"/>
        <v>0.97919999999999996</v>
      </c>
      <c r="K15" s="204">
        <f t="shared" si="0"/>
        <v>1.6991999999999998</v>
      </c>
      <c r="L15" s="204">
        <f t="shared" si="0"/>
        <v>1.7791999999999999</v>
      </c>
      <c r="M15" s="204">
        <f t="shared" si="0"/>
        <v>1.5991999999999997</v>
      </c>
      <c r="N15" s="204">
        <f t="shared" si="0"/>
        <v>1.5791999999999997</v>
      </c>
      <c r="O15" s="204">
        <f t="shared" si="0"/>
        <v>1.8491999999999997</v>
      </c>
      <c r="P15" s="204">
        <f t="shared" si="0"/>
        <v>1.1491999999999998</v>
      </c>
      <c r="Q15" s="204">
        <f t="shared" si="0"/>
        <v>3.2492000000000001</v>
      </c>
      <c r="R15" s="204">
        <v>1.4</v>
      </c>
      <c r="S15" s="204">
        <v>1.4</v>
      </c>
      <c r="T15" s="204">
        <f t="shared" si="0"/>
        <v>1.5791999999999997</v>
      </c>
      <c r="U15" s="204">
        <f t="shared" si="0"/>
        <v>1.8792</v>
      </c>
      <c r="V15" s="204">
        <f t="shared" si="0"/>
        <v>1.7491999999999999</v>
      </c>
      <c r="W15" s="204">
        <f t="shared" si="0"/>
        <v>1.8291999999999997</v>
      </c>
      <c r="X15" s="204">
        <f t="shared" si="0"/>
        <v>1.0291999999999999</v>
      </c>
      <c r="Y15" s="204">
        <f t="shared" si="0"/>
        <v>1.0791999999999997</v>
      </c>
      <c r="Z15" s="204">
        <f t="shared" si="0"/>
        <v>1.5991999999999997</v>
      </c>
      <c r="AA15" s="204">
        <f t="shared" si="0"/>
        <v>2.0792000000000002</v>
      </c>
      <c r="AB15" s="204">
        <f t="shared" si="0"/>
        <v>1.6492</v>
      </c>
    </row>
    <row r="16" spans="1:28" x14ac:dyDescent="0.2">
      <c r="C16" s="204" t="s">
        <v>3531</v>
      </c>
      <c r="D16" s="204">
        <v>170</v>
      </c>
      <c r="E16" s="204"/>
      <c r="F16" s="205">
        <v>13</v>
      </c>
      <c r="G16" s="174">
        <v>36</v>
      </c>
      <c r="H16" s="204">
        <f>H17-0.0254</f>
        <v>1.4045999999999998</v>
      </c>
      <c r="I16" s="204">
        <f t="shared" si="0"/>
        <v>1.9545999999999999</v>
      </c>
      <c r="J16" s="204">
        <f t="shared" si="0"/>
        <v>1.0045999999999999</v>
      </c>
      <c r="K16" s="204">
        <f t="shared" si="0"/>
        <v>1.7245999999999999</v>
      </c>
      <c r="L16" s="204">
        <f t="shared" si="0"/>
        <v>1.8046</v>
      </c>
      <c r="M16" s="204">
        <f t="shared" si="0"/>
        <v>1.6245999999999998</v>
      </c>
      <c r="N16" s="204">
        <f t="shared" si="0"/>
        <v>1.6045999999999998</v>
      </c>
      <c r="O16" s="204">
        <f t="shared" si="0"/>
        <v>1.8745999999999998</v>
      </c>
      <c r="P16" s="204">
        <f t="shared" si="0"/>
        <v>1.1745999999999999</v>
      </c>
      <c r="Q16" s="204">
        <f t="shared" si="0"/>
        <v>3.2746</v>
      </c>
      <c r="R16" s="204">
        <f>R17-0.0254</f>
        <v>1.4045999999999998</v>
      </c>
      <c r="S16" s="204">
        <f>S17-0.0254</f>
        <v>1.4045999999999998</v>
      </c>
      <c r="T16" s="204">
        <f t="shared" si="0"/>
        <v>1.6045999999999998</v>
      </c>
      <c r="U16" s="204">
        <f t="shared" si="0"/>
        <v>1.9046000000000001</v>
      </c>
      <c r="V16" s="204">
        <f t="shared" si="0"/>
        <v>1.7746</v>
      </c>
      <c r="W16" s="204">
        <f t="shared" si="0"/>
        <v>1.8545999999999998</v>
      </c>
      <c r="X16" s="204">
        <f t="shared" si="0"/>
        <v>1.0546</v>
      </c>
      <c r="Y16" s="204">
        <f t="shared" si="0"/>
        <v>1.1045999999999998</v>
      </c>
      <c r="Z16" s="204">
        <f t="shared" si="0"/>
        <v>1.6245999999999998</v>
      </c>
      <c r="AA16" s="204">
        <f t="shared" si="0"/>
        <v>2.1046</v>
      </c>
      <c r="AB16" s="204">
        <f t="shared" si="0"/>
        <v>1.6746000000000001</v>
      </c>
    </row>
    <row r="17" spans="1:34" x14ac:dyDescent="0.2">
      <c r="B17" s="182"/>
      <c r="C17" s="204" t="s">
        <v>3532</v>
      </c>
      <c r="D17" s="224">
        <v>29.25</v>
      </c>
      <c r="E17" s="224"/>
      <c r="F17" s="205">
        <v>14</v>
      </c>
      <c r="G17" s="182">
        <v>51</v>
      </c>
      <c r="H17" s="224">
        <v>1.43</v>
      </c>
      <c r="I17" s="224">
        <v>1.98</v>
      </c>
      <c r="J17" s="224">
        <v>1.03</v>
      </c>
      <c r="K17" s="224">
        <v>1.75</v>
      </c>
      <c r="L17" s="224">
        <v>1.83</v>
      </c>
      <c r="M17" s="224">
        <v>1.65</v>
      </c>
      <c r="N17" s="224">
        <v>1.63</v>
      </c>
      <c r="O17" s="224">
        <v>1.9</v>
      </c>
      <c r="P17" s="224">
        <v>1.2</v>
      </c>
      <c r="Q17" s="224">
        <v>3.3</v>
      </c>
      <c r="R17" s="224">
        <v>1.43</v>
      </c>
      <c r="S17" s="224">
        <v>1.43</v>
      </c>
      <c r="T17" s="224">
        <v>1.63</v>
      </c>
      <c r="U17" s="182">
        <v>1.9300000000000002</v>
      </c>
      <c r="V17" s="182">
        <v>1.8</v>
      </c>
      <c r="W17" s="182">
        <v>1.88</v>
      </c>
      <c r="X17" s="182">
        <v>1.08</v>
      </c>
      <c r="Y17" s="182">
        <v>1.1299999999999999</v>
      </c>
      <c r="Z17" s="182">
        <v>1.65</v>
      </c>
      <c r="AA17" s="182">
        <v>2.13</v>
      </c>
      <c r="AB17" s="182">
        <v>1.7000000000000002</v>
      </c>
    </row>
    <row r="18" spans="1:34" x14ac:dyDescent="0.2">
      <c r="C18" s="204" t="s">
        <v>3533</v>
      </c>
      <c r="D18" s="225">
        <f>D17/D16</f>
        <v>0.17205882352941176</v>
      </c>
      <c r="E18" s="204"/>
      <c r="F18" s="205">
        <v>15</v>
      </c>
      <c r="G18" s="174">
        <v>66</v>
      </c>
      <c r="H18" s="204">
        <v>1.43</v>
      </c>
      <c r="I18" s="204">
        <f t="shared" ref="I18:Q31" si="1">I17+0.0254</f>
        <v>2.0053999999999998</v>
      </c>
      <c r="J18" s="204">
        <f t="shared" si="1"/>
        <v>1.0554000000000001</v>
      </c>
      <c r="K18" s="204">
        <f t="shared" si="1"/>
        <v>1.7754000000000001</v>
      </c>
      <c r="L18" s="204">
        <f t="shared" si="1"/>
        <v>1.8554000000000002</v>
      </c>
      <c r="M18" s="204">
        <f t="shared" si="1"/>
        <v>1.6754</v>
      </c>
      <c r="N18" s="204">
        <f t="shared" si="1"/>
        <v>1.6554</v>
      </c>
      <c r="O18" s="204">
        <f t="shared" si="1"/>
        <v>1.9254</v>
      </c>
      <c r="P18" s="204">
        <f t="shared" si="1"/>
        <v>1.2254</v>
      </c>
      <c r="Q18" s="204">
        <f t="shared" si="1"/>
        <v>3.3253999999999997</v>
      </c>
      <c r="R18" s="204">
        <v>1.43</v>
      </c>
      <c r="S18" s="204">
        <v>1.43</v>
      </c>
      <c r="T18" s="204">
        <f t="shared" ref="T18:AB31" si="2">T17+0.0254</f>
        <v>1.6554</v>
      </c>
      <c r="U18" s="204">
        <f t="shared" si="2"/>
        <v>1.9554000000000002</v>
      </c>
      <c r="V18" s="204">
        <f t="shared" si="2"/>
        <v>1.8254000000000001</v>
      </c>
      <c r="W18" s="204">
        <f t="shared" si="2"/>
        <v>1.9054</v>
      </c>
      <c r="X18" s="204">
        <f t="shared" si="2"/>
        <v>1.1054000000000002</v>
      </c>
      <c r="Y18" s="204">
        <f t="shared" si="2"/>
        <v>1.1554</v>
      </c>
      <c r="Z18" s="204">
        <f t="shared" si="2"/>
        <v>1.6754</v>
      </c>
      <c r="AA18" s="204">
        <f t="shared" si="2"/>
        <v>2.1553999999999998</v>
      </c>
      <c r="AB18" s="204">
        <f t="shared" si="2"/>
        <v>1.7254000000000003</v>
      </c>
    </row>
    <row r="19" spans="1:34" x14ac:dyDescent="0.2">
      <c r="C19" s="204"/>
      <c r="D19" s="204"/>
      <c r="E19" s="204"/>
      <c r="F19" s="205">
        <v>16</v>
      </c>
      <c r="G19" s="174">
        <v>78</v>
      </c>
      <c r="H19" s="204">
        <f>H18+0.0254</f>
        <v>1.4554</v>
      </c>
      <c r="I19" s="204">
        <f t="shared" si="1"/>
        <v>2.0307999999999997</v>
      </c>
      <c r="J19" s="204">
        <f t="shared" si="1"/>
        <v>1.0808000000000002</v>
      </c>
      <c r="K19" s="204">
        <f t="shared" si="1"/>
        <v>1.8008000000000002</v>
      </c>
      <c r="L19" s="204">
        <f t="shared" si="1"/>
        <v>1.8808000000000002</v>
      </c>
      <c r="M19" s="204">
        <f t="shared" si="1"/>
        <v>1.7008000000000001</v>
      </c>
      <c r="N19" s="204">
        <f t="shared" si="1"/>
        <v>1.6808000000000001</v>
      </c>
      <c r="O19" s="204">
        <f t="shared" si="1"/>
        <v>1.9508000000000001</v>
      </c>
      <c r="P19" s="204">
        <f t="shared" si="1"/>
        <v>1.2508000000000001</v>
      </c>
      <c r="Q19" s="204">
        <f t="shared" si="1"/>
        <v>3.3507999999999996</v>
      </c>
      <c r="R19" s="204">
        <f>R18+0.0254</f>
        <v>1.4554</v>
      </c>
      <c r="S19" s="204">
        <f>S18+0.0254</f>
        <v>1.4554</v>
      </c>
      <c r="T19" s="204">
        <f t="shared" si="2"/>
        <v>1.6808000000000001</v>
      </c>
      <c r="U19" s="204">
        <f t="shared" si="2"/>
        <v>1.9808000000000003</v>
      </c>
      <c r="V19" s="204">
        <f t="shared" si="2"/>
        <v>1.8508000000000002</v>
      </c>
      <c r="W19" s="204">
        <f t="shared" si="2"/>
        <v>1.9308000000000001</v>
      </c>
      <c r="X19" s="204">
        <f t="shared" si="2"/>
        <v>1.1308000000000002</v>
      </c>
      <c r="Y19" s="204">
        <f t="shared" si="2"/>
        <v>1.1808000000000001</v>
      </c>
      <c r="Z19" s="204">
        <f t="shared" si="2"/>
        <v>1.7008000000000001</v>
      </c>
      <c r="AA19" s="204">
        <f t="shared" si="2"/>
        <v>2.1807999999999996</v>
      </c>
      <c r="AB19" s="204">
        <f t="shared" si="2"/>
        <v>1.7508000000000004</v>
      </c>
    </row>
    <row r="20" spans="1:34" x14ac:dyDescent="0.2">
      <c r="C20" s="204">
        <v>120</v>
      </c>
      <c r="D20" s="204">
        <f>D18*C20</f>
        <v>20.647058823529413</v>
      </c>
      <c r="E20" s="204"/>
      <c r="F20" s="205">
        <v>17</v>
      </c>
      <c r="G20" s="174">
        <v>87</v>
      </c>
      <c r="H20" s="204">
        <v>1.46</v>
      </c>
      <c r="I20" s="204">
        <f t="shared" si="1"/>
        <v>2.0561999999999996</v>
      </c>
      <c r="J20" s="204">
        <f t="shared" si="1"/>
        <v>1.1062000000000003</v>
      </c>
      <c r="K20" s="204">
        <f t="shared" si="1"/>
        <v>1.8262000000000003</v>
      </c>
      <c r="L20" s="204">
        <f t="shared" si="1"/>
        <v>1.9062000000000003</v>
      </c>
      <c r="M20" s="204">
        <f t="shared" si="1"/>
        <v>1.7262000000000002</v>
      </c>
      <c r="N20" s="204">
        <f t="shared" si="1"/>
        <v>1.7062000000000002</v>
      </c>
      <c r="O20" s="204">
        <f t="shared" si="1"/>
        <v>1.9762000000000002</v>
      </c>
      <c r="P20" s="204">
        <f t="shared" si="1"/>
        <v>1.2762000000000002</v>
      </c>
      <c r="Q20" s="204">
        <f t="shared" si="1"/>
        <v>3.3761999999999994</v>
      </c>
      <c r="R20" s="204">
        <v>1.46</v>
      </c>
      <c r="S20" s="204">
        <v>1.46</v>
      </c>
      <c r="T20" s="204">
        <f t="shared" si="2"/>
        <v>1.7062000000000002</v>
      </c>
      <c r="U20" s="204">
        <f t="shared" si="2"/>
        <v>2.0062000000000002</v>
      </c>
      <c r="V20" s="204">
        <f t="shared" si="2"/>
        <v>1.8762000000000003</v>
      </c>
      <c r="W20" s="204">
        <f t="shared" si="2"/>
        <v>1.9562000000000002</v>
      </c>
      <c r="X20" s="204">
        <f t="shared" si="2"/>
        <v>1.1562000000000003</v>
      </c>
      <c r="Y20" s="204">
        <f t="shared" si="2"/>
        <v>1.2062000000000002</v>
      </c>
      <c r="Z20" s="204">
        <f t="shared" si="2"/>
        <v>1.7262000000000002</v>
      </c>
      <c r="AA20" s="204">
        <f t="shared" si="2"/>
        <v>2.2061999999999995</v>
      </c>
      <c r="AB20" s="204">
        <f t="shared" si="2"/>
        <v>1.7762000000000004</v>
      </c>
    </row>
    <row r="21" spans="1:34" x14ac:dyDescent="0.2">
      <c r="C21" s="204"/>
      <c r="D21" s="204"/>
      <c r="E21" s="204"/>
      <c r="F21" s="205">
        <v>18</v>
      </c>
      <c r="G21" s="174">
        <v>93</v>
      </c>
      <c r="H21" s="204">
        <f>H20+0.0254</f>
        <v>1.4854000000000001</v>
      </c>
      <c r="I21" s="204">
        <f t="shared" si="1"/>
        <v>2.0815999999999995</v>
      </c>
      <c r="J21" s="204">
        <f t="shared" si="1"/>
        <v>1.1316000000000004</v>
      </c>
      <c r="K21" s="204">
        <f t="shared" si="1"/>
        <v>1.8516000000000004</v>
      </c>
      <c r="L21" s="204">
        <f t="shared" si="1"/>
        <v>1.9316000000000004</v>
      </c>
      <c r="M21" s="204">
        <f t="shared" si="1"/>
        <v>1.7516000000000003</v>
      </c>
      <c r="N21" s="204">
        <f t="shared" si="1"/>
        <v>1.7316000000000003</v>
      </c>
      <c r="O21" s="204">
        <f t="shared" si="1"/>
        <v>2.0016000000000003</v>
      </c>
      <c r="P21" s="204">
        <f t="shared" si="1"/>
        <v>1.3016000000000003</v>
      </c>
      <c r="Q21" s="204">
        <f t="shared" si="1"/>
        <v>3.4015999999999993</v>
      </c>
      <c r="R21" s="204">
        <f>R20+0.0254</f>
        <v>1.4854000000000001</v>
      </c>
      <c r="S21" s="204">
        <f>S20+0.0254</f>
        <v>1.4854000000000001</v>
      </c>
      <c r="T21" s="204">
        <f t="shared" si="2"/>
        <v>1.7316000000000003</v>
      </c>
      <c r="U21" s="204">
        <f t="shared" si="2"/>
        <v>2.0316000000000001</v>
      </c>
      <c r="V21" s="204">
        <f t="shared" si="2"/>
        <v>1.9016000000000004</v>
      </c>
      <c r="W21" s="204">
        <f t="shared" si="2"/>
        <v>1.9816000000000003</v>
      </c>
      <c r="X21" s="204">
        <f t="shared" si="2"/>
        <v>1.1816000000000004</v>
      </c>
      <c r="Y21" s="204">
        <f t="shared" si="2"/>
        <v>1.2316000000000003</v>
      </c>
      <c r="Z21" s="204">
        <f t="shared" si="2"/>
        <v>1.7516000000000003</v>
      </c>
      <c r="AA21" s="204">
        <f t="shared" si="2"/>
        <v>2.2315999999999994</v>
      </c>
      <c r="AB21" s="204">
        <f t="shared" si="2"/>
        <v>1.8016000000000005</v>
      </c>
    </row>
    <row r="22" spans="1:34" x14ac:dyDescent="0.2">
      <c r="C22" s="204"/>
      <c r="D22" s="204"/>
      <c r="E22" s="204"/>
      <c r="F22" s="205">
        <v>19</v>
      </c>
      <c r="G22" s="174">
        <v>96</v>
      </c>
      <c r="H22" s="204">
        <v>1.49</v>
      </c>
      <c r="I22" s="204">
        <f t="shared" si="1"/>
        <v>2.1069999999999993</v>
      </c>
      <c r="J22" s="204">
        <f t="shared" si="1"/>
        <v>1.1570000000000005</v>
      </c>
      <c r="K22" s="204">
        <f t="shared" si="1"/>
        <v>1.8770000000000004</v>
      </c>
      <c r="L22" s="204">
        <f t="shared" si="1"/>
        <v>1.9570000000000005</v>
      </c>
      <c r="M22" s="204">
        <f t="shared" si="1"/>
        <v>1.7770000000000004</v>
      </c>
      <c r="N22" s="204">
        <f t="shared" si="1"/>
        <v>1.7570000000000003</v>
      </c>
      <c r="O22" s="204">
        <f t="shared" si="1"/>
        <v>2.0270000000000001</v>
      </c>
      <c r="P22" s="204">
        <f t="shared" si="1"/>
        <v>1.3270000000000004</v>
      </c>
      <c r="Q22" s="204">
        <f t="shared" si="1"/>
        <v>3.4269999999999992</v>
      </c>
      <c r="R22" s="204">
        <v>1.49</v>
      </c>
      <c r="S22" s="204">
        <v>1.49</v>
      </c>
      <c r="T22" s="204">
        <f t="shared" si="2"/>
        <v>1.7570000000000003</v>
      </c>
      <c r="U22" s="204">
        <f t="shared" si="2"/>
        <v>2.0569999999999999</v>
      </c>
      <c r="V22" s="204">
        <f t="shared" si="2"/>
        <v>1.9270000000000005</v>
      </c>
      <c r="W22" s="204">
        <f t="shared" si="2"/>
        <v>2.0070000000000001</v>
      </c>
      <c r="X22" s="204">
        <f t="shared" si="2"/>
        <v>1.2070000000000005</v>
      </c>
      <c r="Y22" s="204">
        <f t="shared" si="2"/>
        <v>1.2570000000000003</v>
      </c>
      <c r="Z22" s="204">
        <f t="shared" si="2"/>
        <v>1.7770000000000004</v>
      </c>
      <c r="AA22" s="204">
        <f t="shared" si="2"/>
        <v>2.2569999999999992</v>
      </c>
      <c r="AB22" s="204">
        <f t="shared" si="2"/>
        <v>1.8270000000000006</v>
      </c>
    </row>
    <row r="23" spans="1:34" x14ac:dyDescent="0.2">
      <c r="C23" s="204"/>
      <c r="D23" s="204"/>
      <c r="E23" s="204"/>
      <c r="F23" s="205">
        <v>20</v>
      </c>
      <c r="G23" s="174">
        <v>141</v>
      </c>
      <c r="H23" s="204">
        <f>H22+0.0254</f>
        <v>1.5154000000000001</v>
      </c>
      <c r="I23" s="204">
        <f t="shared" si="1"/>
        <v>2.1323999999999992</v>
      </c>
      <c r="J23" s="204">
        <f t="shared" si="1"/>
        <v>1.1824000000000006</v>
      </c>
      <c r="K23" s="204">
        <f t="shared" si="1"/>
        <v>1.9024000000000005</v>
      </c>
      <c r="L23" s="204">
        <f t="shared" si="1"/>
        <v>1.9824000000000006</v>
      </c>
      <c r="M23" s="204">
        <f t="shared" si="1"/>
        <v>1.8024000000000004</v>
      </c>
      <c r="N23" s="204">
        <f t="shared" si="1"/>
        <v>1.7824000000000004</v>
      </c>
      <c r="O23" s="204">
        <f t="shared" si="1"/>
        <v>2.0524</v>
      </c>
      <c r="P23" s="204">
        <f t="shared" si="1"/>
        <v>1.3524000000000005</v>
      </c>
      <c r="Q23" s="204">
        <f t="shared" si="1"/>
        <v>3.452399999999999</v>
      </c>
      <c r="R23" s="204">
        <f>R22+0.0254</f>
        <v>1.5154000000000001</v>
      </c>
      <c r="S23" s="204">
        <f>S22+0.0254</f>
        <v>1.5154000000000001</v>
      </c>
      <c r="T23" s="204">
        <f t="shared" si="2"/>
        <v>1.7824000000000004</v>
      </c>
      <c r="U23" s="204">
        <f t="shared" si="2"/>
        <v>2.0823999999999998</v>
      </c>
      <c r="V23" s="204">
        <f t="shared" si="2"/>
        <v>1.9524000000000006</v>
      </c>
      <c r="W23" s="204">
        <f t="shared" si="2"/>
        <v>2.0324</v>
      </c>
      <c r="X23" s="204">
        <f t="shared" si="2"/>
        <v>1.2324000000000006</v>
      </c>
      <c r="Y23" s="204">
        <f t="shared" si="2"/>
        <v>1.2824000000000004</v>
      </c>
      <c r="Z23" s="204">
        <f t="shared" si="2"/>
        <v>1.8024000000000004</v>
      </c>
      <c r="AA23" s="204">
        <f t="shared" si="2"/>
        <v>2.2823999999999991</v>
      </c>
      <c r="AB23" s="204">
        <f t="shared" si="2"/>
        <v>1.8524000000000007</v>
      </c>
    </row>
    <row r="24" spans="1:34" x14ac:dyDescent="0.2">
      <c r="C24" s="204"/>
      <c r="D24" s="204"/>
      <c r="E24" s="204"/>
      <c r="F24" s="205">
        <v>21</v>
      </c>
      <c r="G24" s="174">
        <v>166</v>
      </c>
      <c r="H24" s="204">
        <v>1.52</v>
      </c>
      <c r="I24" s="204">
        <f t="shared" si="1"/>
        <v>2.1577999999999991</v>
      </c>
      <c r="J24" s="204">
        <f t="shared" si="1"/>
        <v>1.2078000000000007</v>
      </c>
      <c r="K24" s="204">
        <f t="shared" si="1"/>
        <v>1.9278000000000006</v>
      </c>
      <c r="L24" s="204">
        <f t="shared" si="1"/>
        <v>2.0078000000000005</v>
      </c>
      <c r="M24" s="204">
        <f t="shared" si="1"/>
        <v>1.8278000000000005</v>
      </c>
      <c r="N24" s="204">
        <f t="shared" si="1"/>
        <v>1.8078000000000005</v>
      </c>
      <c r="O24" s="204">
        <f t="shared" si="1"/>
        <v>2.0777999999999999</v>
      </c>
      <c r="P24" s="204">
        <f t="shared" si="1"/>
        <v>1.3778000000000006</v>
      </c>
      <c r="Q24" s="204">
        <f t="shared" si="1"/>
        <v>3.4777999999999989</v>
      </c>
      <c r="R24" s="204">
        <v>1.52</v>
      </c>
      <c r="S24" s="204">
        <v>1.52</v>
      </c>
      <c r="T24" s="204">
        <f t="shared" si="2"/>
        <v>1.8078000000000005</v>
      </c>
      <c r="U24" s="204">
        <f t="shared" si="2"/>
        <v>2.1077999999999997</v>
      </c>
      <c r="V24" s="204">
        <f t="shared" si="2"/>
        <v>1.9778000000000007</v>
      </c>
      <c r="W24" s="204">
        <f t="shared" si="2"/>
        <v>2.0577999999999999</v>
      </c>
      <c r="X24" s="204">
        <f t="shared" si="2"/>
        <v>1.2578000000000007</v>
      </c>
      <c r="Y24" s="204">
        <f t="shared" si="2"/>
        <v>1.3078000000000005</v>
      </c>
      <c r="Z24" s="204">
        <f t="shared" si="2"/>
        <v>1.8278000000000005</v>
      </c>
      <c r="AA24" s="204">
        <f t="shared" si="2"/>
        <v>2.307799999999999</v>
      </c>
      <c r="AB24" s="204">
        <f t="shared" si="2"/>
        <v>1.8778000000000008</v>
      </c>
    </row>
    <row r="25" spans="1:34" x14ac:dyDescent="0.2">
      <c r="C25" s="204"/>
      <c r="D25" s="204"/>
      <c r="E25" s="204"/>
      <c r="F25" s="205">
        <v>22</v>
      </c>
      <c r="G25" s="174">
        <v>181</v>
      </c>
      <c r="H25" s="204">
        <f>H24+0.0254</f>
        <v>1.5454000000000001</v>
      </c>
      <c r="I25" s="204">
        <f t="shared" si="1"/>
        <v>2.1831999999999989</v>
      </c>
      <c r="J25" s="204">
        <f t="shared" si="1"/>
        <v>1.2332000000000007</v>
      </c>
      <c r="K25" s="204">
        <f t="shared" si="1"/>
        <v>1.9532000000000007</v>
      </c>
      <c r="L25" s="204">
        <f t="shared" si="1"/>
        <v>2.0332000000000003</v>
      </c>
      <c r="M25" s="204">
        <f t="shared" si="1"/>
        <v>1.8532000000000006</v>
      </c>
      <c r="N25" s="204">
        <f t="shared" si="1"/>
        <v>1.8332000000000006</v>
      </c>
      <c r="O25" s="204">
        <f t="shared" si="1"/>
        <v>2.1031999999999997</v>
      </c>
      <c r="P25" s="204">
        <f t="shared" si="1"/>
        <v>1.4032000000000007</v>
      </c>
      <c r="Q25" s="204">
        <f t="shared" si="1"/>
        <v>3.5031999999999988</v>
      </c>
      <c r="R25" s="204">
        <f>R24+0.0254</f>
        <v>1.5454000000000001</v>
      </c>
      <c r="S25" s="204">
        <f>S24+0.0254</f>
        <v>1.5454000000000001</v>
      </c>
      <c r="T25" s="204">
        <f t="shared" si="2"/>
        <v>1.8332000000000006</v>
      </c>
      <c r="U25" s="204">
        <f t="shared" si="2"/>
        <v>2.1331999999999995</v>
      </c>
      <c r="V25" s="204">
        <f t="shared" si="2"/>
        <v>2.0032000000000005</v>
      </c>
      <c r="W25" s="204">
        <f t="shared" si="2"/>
        <v>2.0831999999999997</v>
      </c>
      <c r="X25" s="204">
        <f t="shared" si="2"/>
        <v>1.2832000000000008</v>
      </c>
      <c r="Y25" s="204">
        <f t="shared" si="2"/>
        <v>1.3332000000000006</v>
      </c>
      <c r="Z25" s="204">
        <f t="shared" si="2"/>
        <v>1.8532000000000006</v>
      </c>
      <c r="AA25" s="204">
        <f t="shared" si="2"/>
        <v>2.3331999999999988</v>
      </c>
      <c r="AB25" s="204">
        <f t="shared" si="2"/>
        <v>1.9032000000000009</v>
      </c>
    </row>
    <row r="26" spans="1:34" x14ac:dyDescent="0.2">
      <c r="A26" s="174" t="s">
        <v>3534</v>
      </c>
      <c r="B26" s="174">
        <v>6</v>
      </c>
      <c r="C26" s="204"/>
      <c r="D26" s="204"/>
      <c r="E26" s="204"/>
      <c r="F26" s="205">
        <v>23</v>
      </c>
      <c r="G26" s="174">
        <v>191</v>
      </c>
      <c r="H26" s="204">
        <v>1.55</v>
      </c>
      <c r="I26" s="204">
        <f t="shared" si="1"/>
        <v>2.2085999999999988</v>
      </c>
      <c r="J26" s="204">
        <f t="shared" si="1"/>
        <v>1.2586000000000008</v>
      </c>
      <c r="K26" s="204">
        <f t="shared" si="1"/>
        <v>1.9786000000000008</v>
      </c>
      <c r="L26" s="204">
        <f t="shared" si="1"/>
        <v>2.0586000000000002</v>
      </c>
      <c r="M26" s="204">
        <f t="shared" si="1"/>
        <v>1.8786000000000007</v>
      </c>
      <c r="N26" s="204">
        <f t="shared" si="1"/>
        <v>1.8586000000000007</v>
      </c>
      <c r="O26" s="204">
        <f t="shared" si="1"/>
        <v>2.1285999999999996</v>
      </c>
      <c r="P26" s="204">
        <f t="shared" si="1"/>
        <v>1.4286000000000008</v>
      </c>
      <c r="Q26" s="204">
        <f t="shared" si="1"/>
        <v>3.5285999999999986</v>
      </c>
      <c r="R26" s="204">
        <v>1.55</v>
      </c>
      <c r="S26" s="204">
        <v>1.55</v>
      </c>
      <c r="T26" s="204">
        <f t="shared" si="2"/>
        <v>1.8586000000000007</v>
      </c>
      <c r="U26" s="204">
        <f t="shared" si="2"/>
        <v>2.1585999999999994</v>
      </c>
      <c r="V26" s="204">
        <f t="shared" si="2"/>
        <v>2.0286000000000004</v>
      </c>
      <c r="W26" s="204">
        <f t="shared" si="2"/>
        <v>2.1085999999999996</v>
      </c>
      <c r="X26" s="204">
        <f t="shared" si="2"/>
        <v>1.3086000000000009</v>
      </c>
      <c r="Y26" s="204">
        <f t="shared" si="2"/>
        <v>1.3586000000000007</v>
      </c>
      <c r="Z26" s="204">
        <f t="shared" si="2"/>
        <v>1.8786000000000007</v>
      </c>
      <c r="AA26" s="204">
        <f t="shared" si="2"/>
        <v>2.3585999999999987</v>
      </c>
      <c r="AB26" s="204">
        <f t="shared" si="2"/>
        <v>1.928600000000001</v>
      </c>
    </row>
    <row r="27" spans="1:34" x14ac:dyDescent="0.2">
      <c r="A27" s="174" t="s">
        <v>3535</v>
      </c>
      <c r="B27" s="174">
        <v>0</v>
      </c>
      <c r="C27" s="204"/>
      <c r="D27" s="204"/>
      <c r="E27" s="204"/>
      <c r="F27" s="205">
        <v>24</v>
      </c>
      <c r="G27" s="174">
        <v>221</v>
      </c>
      <c r="H27" s="204">
        <f>H26+0.0254</f>
        <v>1.5754000000000001</v>
      </c>
      <c r="I27" s="204">
        <f t="shared" si="1"/>
        <v>2.2339999999999987</v>
      </c>
      <c r="J27" s="204">
        <f t="shared" si="1"/>
        <v>1.2840000000000009</v>
      </c>
      <c r="K27" s="204">
        <f t="shared" si="1"/>
        <v>2.0040000000000009</v>
      </c>
      <c r="L27" s="204">
        <f t="shared" si="1"/>
        <v>2.0840000000000001</v>
      </c>
      <c r="M27" s="204">
        <f t="shared" si="1"/>
        <v>1.9040000000000008</v>
      </c>
      <c r="N27" s="204">
        <f t="shared" si="1"/>
        <v>1.8840000000000008</v>
      </c>
      <c r="O27" s="204">
        <f t="shared" si="1"/>
        <v>2.1539999999999995</v>
      </c>
      <c r="P27" s="204">
        <f t="shared" si="1"/>
        <v>1.4540000000000008</v>
      </c>
      <c r="Q27" s="204">
        <f t="shared" si="1"/>
        <v>3.5539999999999985</v>
      </c>
      <c r="R27" s="204">
        <f>R26+0.0254</f>
        <v>1.5754000000000001</v>
      </c>
      <c r="S27" s="204">
        <f>S26+0.0254</f>
        <v>1.5754000000000001</v>
      </c>
      <c r="T27" s="204">
        <f t="shared" si="2"/>
        <v>1.8840000000000008</v>
      </c>
      <c r="U27" s="204">
        <f t="shared" si="2"/>
        <v>2.1839999999999993</v>
      </c>
      <c r="V27" s="204">
        <f t="shared" si="2"/>
        <v>2.0540000000000003</v>
      </c>
      <c r="W27" s="204">
        <f t="shared" si="2"/>
        <v>2.1339999999999995</v>
      </c>
      <c r="X27" s="204">
        <f t="shared" si="2"/>
        <v>1.334000000000001</v>
      </c>
      <c r="Y27" s="204">
        <f t="shared" si="2"/>
        <v>1.3840000000000008</v>
      </c>
      <c r="Z27" s="204">
        <f t="shared" si="2"/>
        <v>1.9040000000000008</v>
      </c>
      <c r="AA27" s="204">
        <f t="shared" si="2"/>
        <v>2.3839999999999986</v>
      </c>
      <c r="AB27" s="204">
        <f t="shared" si="2"/>
        <v>1.9540000000000011</v>
      </c>
    </row>
    <row r="28" spans="1:34" x14ac:dyDescent="0.2">
      <c r="A28" s="174" t="s">
        <v>180</v>
      </c>
      <c r="B28" s="204">
        <f>B26*0.3+B27*0.0254</f>
        <v>1.7999999999999998</v>
      </c>
      <c r="C28" s="204"/>
      <c r="D28" s="204"/>
      <c r="E28" s="204"/>
      <c r="F28" s="205">
        <v>25</v>
      </c>
      <c r="G28" s="174">
        <v>261</v>
      </c>
      <c r="H28" s="204">
        <v>1.58</v>
      </c>
      <c r="I28" s="204">
        <f t="shared" si="1"/>
        <v>2.2593999999999985</v>
      </c>
      <c r="J28" s="204">
        <f t="shared" si="1"/>
        <v>1.309400000000001</v>
      </c>
      <c r="K28" s="204">
        <f t="shared" si="1"/>
        <v>2.0294000000000008</v>
      </c>
      <c r="L28" s="204">
        <f t="shared" si="1"/>
        <v>2.1093999999999999</v>
      </c>
      <c r="M28" s="204">
        <f t="shared" si="1"/>
        <v>1.9294000000000009</v>
      </c>
      <c r="N28" s="204">
        <f t="shared" si="1"/>
        <v>1.9094000000000009</v>
      </c>
      <c r="O28" s="204">
        <f t="shared" si="1"/>
        <v>2.1793999999999993</v>
      </c>
      <c r="P28" s="204">
        <f t="shared" si="1"/>
        <v>1.4794000000000009</v>
      </c>
      <c r="Q28" s="204">
        <f t="shared" si="1"/>
        <v>3.5793999999999984</v>
      </c>
      <c r="R28" s="204">
        <v>1.58</v>
      </c>
      <c r="S28" s="204">
        <v>1.58</v>
      </c>
      <c r="T28" s="204">
        <f t="shared" si="2"/>
        <v>1.9094000000000009</v>
      </c>
      <c r="U28" s="204">
        <f t="shared" si="2"/>
        <v>2.2093999999999991</v>
      </c>
      <c r="V28" s="204">
        <f t="shared" si="2"/>
        <v>2.0794000000000001</v>
      </c>
      <c r="W28" s="204">
        <f t="shared" si="2"/>
        <v>2.1593999999999993</v>
      </c>
      <c r="X28" s="204">
        <f t="shared" si="2"/>
        <v>1.3594000000000011</v>
      </c>
      <c r="Y28" s="204">
        <f t="shared" si="2"/>
        <v>1.4094000000000009</v>
      </c>
      <c r="Z28" s="204">
        <f t="shared" si="2"/>
        <v>1.9294000000000009</v>
      </c>
      <c r="AA28" s="204">
        <f t="shared" si="2"/>
        <v>2.4093999999999984</v>
      </c>
      <c r="AB28" s="204">
        <f t="shared" si="2"/>
        <v>1.9794000000000012</v>
      </c>
      <c r="AG28" s="174" t="s">
        <v>4174</v>
      </c>
      <c r="AH28" s="174">
        <v>150</v>
      </c>
    </row>
    <row r="29" spans="1:34" x14ac:dyDescent="0.2">
      <c r="A29" s="174" t="s">
        <v>3536</v>
      </c>
      <c r="B29" s="174">
        <v>130</v>
      </c>
      <c r="C29" s="204">
        <v>45</v>
      </c>
      <c r="D29" s="204"/>
      <c r="E29" s="204"/>
      <c r="F29" s="205">
        <v>26</v>
      </c>
      <c r="G29" s="174">
        <v>281</v>
      </c>
      <c r="H29" s="204">
        <f>H28+0.0254</f>
        <v>1.6054000000000002</v>
      </c>
      <c r="I29" s="204">
        <f t="shared" si="1"/>
        <v>2.2847999999999984</v>
      </c>
      <c r="J29" s="204">
        <f t="shared" si="1"/>
        <v>1.3348000000000011</v>
      </c>
      <c r="K29" s="204">
        <f t="shared" si="1"/>
        <v>2.0548000000000006</v>
      </c>
      <c r="L29" s="204">
        <f t="shared" si="1"/>
        <v>2.1347999999999998</v>
      </c>
      <c r="M29" s="204">
        <f t="shared" si="1"/>
        <v>1.954800000000001</v>
      </c>
      <c r="N29" s="204">
        <f t="shared" si="1"/>
        <v>1.934800000000001</v>
      </c>
      <c r="O29" s="204">
        <f t="shared" si="1"/>
        <v>2.2047999999999992</v>
      </c>
      <c r="P29" s="204">
        <f t="shared" si="1"/>
        <v>1.504800000000001</v>
      </c>
      <c r="Q29" s="204">
        <f t="shared" si="1"/>
        <v>3.6047999999999982</v>
      </c>
      <c r="R29" s="204">
        <f>R28+0.0254</f>
        <v>1.6054000000000002</v>
      </c>
      <c r="S29" s="204">
        <f>S28+0.0254</f>
        <v>1.6054000000000002</v>
      </c>
      <c r="T29" s="204">
        <f t="shared" si="2"/>
        <v>1.934800000000001</v>
      </c>
      <c r="U29" s="204">
        <f t="shared" si="2"/>
        <v>2.234799999999999</v>
      </c>
      <c r="V29" s="204">
        <f t="shared" si="2"/>
        <v>2.1048</v>
      </c>
      <c r="W29" s="204">
        <f t="shared" si="2"/>
        <v>2.1847999999999992</v>
      </c>
      <c r="X29" s="204">
        <f t="shared" si="2"/>
        <v>1.3848000000000011</v>
      </c>
      <c r="Y29" s="204">
        <f t="shared" si="2"/>
        <v>1.434800000000001</v>
      </c>
      <c r="Z29" s="204">
        <f t="shared" si="2"/>
        <v>1.954800000000001</v>
      </c>
      <c r="AA29" s="204">
        <f t="shared" si="2"/>
        <v>2.4347999999999983</v>
      </c>
      <c r="AB29" s="204">
        <f t="shared" si="2"/>
        <v>2.0048000000000012</v>
      </c>
      <c r="AG29" s="174" t="s">
        <v>4175</v>
      </c>
      <c r="AH29" s="174">
        <v>200</v>
      </c>
    </row>
    <row r="30" spans="1:34" x14ac:dyDescent="0.2">
      <c r="A30" s="174" t="s">
        <v>184</v>
      </c>
      <c r="B30" s="174">
        <f>B29*0.45</f>
        <v>58.5</v>
      </c>
      <c r="C30" s="204">
        <v>79.650000000000006</v>
      </c>
      <c r="D30" s="204"/>
      <c r="E30" s="204"/>
      <c r="F30" s="205">
        <v>27</v>
      </c>
      <c r="G30" s="174">
        <v>291</v>
      </c>
      <c r="H30" s="204">
        <v>1.61</v>
      </c>
      <c r="I30" s="204">
        <f t="shared" si="1"/>
        <v>2.3101999999999983</v>
      </c>
      <c r="J30" s="204">
        <f t="shared" si="1"/>
        <v>1.3602000000000012</v>
      </c>
      <c r="K30" s="204">
        <f t="shared" si="1"/>
        <v>2.0802000000000005</v>
      </c>
      <c r="L30" s="204">
        <f t="shared" si="1"/>
        <v>2.1601999999999997</v>
      </c>
      <c r="M30" s="204">
        <f t="shared" si="1"/>
        <v>1.9802000000000011</v>
      </c>
      <c r="N30" s="204">
        <f t="shared" si="1"/>
        <v>1.9602000000000011</v>
      </c>
      <c r="O30" s="204">
        <f t="shared" si="1"/>
        <v>2.2301999999999991</v>
      </c>
      <c r="P30" s="204">
        <f t="shared" si="1"/>
        <v>1.5302000000000011</v>
      </c>
      <c r="Q30" s="204">
        <f t="shared" si="1"/>
        <v>3.6301999999999981</v>
      </c>
      <c r="R30" s="204">
        <v>1.61</v>
      </c>
      <c r="S30" s="204">
        <v>1.61</v>
      </c>
      <c r="T30" s="204">
        <f t="shared" si="2"/>
        <v>1.9602000000000011</v>
      </c>
      <c r="U30" s="204">
        <f t="shared" si="2"/>
        <v>2.2601999999999989</v>
      </c>
      <c r="V30" s="204">
        <f t="shared" si="2"/>
        <v>2.1301999999999999</v>
      </c>
      <c r="W30" s="204">
        <f t="shared" si="2"/>
        <v>2.2101999999999991</v>
      </c>
      <c r="X30" s="204">
        <f t="shared" si="2"/>
        <v>1.4102000000000012</v>
      </c>
      <c r="Y30" s="204">
        <f t="shared" si="2"/>
        <v>1.4602000000000011</v>
      </c>
      <c r="Z30" s="204">
        <f t="shared" si="2"/>
        <v>1.9802000000000011</v>
      </c>
      <c r="AA30" s="204">
        <f t="shared" si="2"/>
        <v>2.4601999999999982</v>
      </c>
      <c r="AB30" s="204">
        <f t="shared" si="2"/>
        <v>2.0302000000000011</v>
      </c>
      <c r="AG30" s="174" t="s">
        <v>4176</v>
      </c>
      <c r="AH30" s="174">
        <f>(AH29+AH28)/2</f>
        <v>175</v>
      </c>
    </row>
    <row r="31" spans="1:34" x14ac:dyDescent="0.2">
      <c r="C31" s="204">
        <f>(C30-C29)/28</f>
        <v>1.2375000000000003</v>
      </c>
      <c r="D31" s="204"/>
      <c r="E31" s="204"/>
      <c r="F31" s="205">
        <v>28</v>
      </c>
      <c r="G31" s="174">
        <v>321</v>
      </c>
      <c r="H31" s="204">
        <f>H30+0.0254</f>
        <v>1.6354000000000002</v>
      </c>
      <c r="I31" s="204">
        <f t="shared" si="1"/>
        <v>2.3355999999999981</v>
      </c>
      <c r="J31" s="204">
        <f t="shared" si="1"/>
        <v>1.3856000000000013</v>
      </c>
      <c r="K31" s="204">
        <f t="shared" si="1"/>
        <v>2.1056000000000004</v>
      </c>
      <c r="L31" s="204">
        <f t="shared" si="1"/>
        <v>2.1855999999999995</v>
      </c>
      <c r="M31" s="204">
        <f t="shared" si="1"/>
        <v>2.0056000000000012</v>
      </c>
      <c r="N31" s="204">
        <f t="shared" si="1"/>
        <v>1.9856000000000011</v>
      </c>
      <c r="O31" s="204">
        <f t="shared" si="1"/>
        <v>2.2555999999999989</v>
      </c>
      <c r="P31" s="204">
        <f t="shared" si="1"/>
        <v>1.5556000000000012</v>
      </c>
      <c r="Q31" s="204">
        <f t="shared" si="1"/>
        <v>3.655599999999998</v>
      </c>
      <c r="R31" s="204">
        <f>R30+0.0254</f>
        <v>1.6354000000000002</v>
      </c>
      <c r="S31" s="204">
        <f>S30+0.0254</f>
        <v>1.6354000000000002</v>
      </c>
      <c r="T31" s="204">
        <f t="shared" si="2"/>
        <v>1.9856000000000011</v>
      </c>
      <c r="U31" s="204">
        <f t="shared" si="2"/>
        <v>2.2855999999999987</v>
      </c>
      <c r="V31" s="204">
        <f t="shared" si="2"/>
        <v>2.1555999999999997</v>
      </c>
      <c r="W31" s="204">
        <f t="shared" si="2"/>
        <v>2.2355999999999989</v>
      </c>
      <c r="X31" s="204">
        <f t="shared" si="2"/>
        <v>1.4356000000000013</v>
      </c>
      <c r="Y31" s="204">
        <f t="shared" si="2"/>
        <v>1.4856000000000011</v>
      </c>
      <c r="Z31" s="204">
        <f t="shared" si="2"/>
        <v>2.0056000000000012</v>
      </c>
      <c r="AA31" s="204">
        <f t="shared" si="2"/>
        <v>2.485599999999998</v>
      </c>
      <c r="AB31" s="204">
        <f t="shared" si="2"/>
        <v>2.055600000000001</v>
      </c>
    </row>
    <row r="33" spans="1:71" x14ac:dyDescent="0.2">
      <c r="A33" s="174" t="s">
        <v>3537</v>
      </c>
      <c r="B33" s="174">
        <f>VLOOKUP(Stats!$L$8,$G$35:$AB$134,$C$42)</f>
        <v>0</v>
      </c>
      <c r="G33" s="174" t="s">
        <v>1163</v>
      </c>
      <c r="H33" s="174" t="s">
        <v>895</v>
      </c>
      <c r="I33" s="174" t="s">
        <v>4171</v>
      </c>
      <c r="J33" s="174" t="s">
        <v>960</v>
      </c>
      <c r="K33" s="174" t="s">
        <v>3521</v>
      </c>
      <c r="L33" s="174" t="s">
        <v>900</v>
      </c>
      <c r="M33" s="174" t="s">
        <v>907</v>
      </c>
      <c r="N33" s="174" t="s">
        <v>1034</v>
      </c>
      <c r="O33" s="174" t="s">
        <v>936</v>
      </c>
      <c r="P33" s="174" t="s">
        <v>1013</v>
      </c>
      <c r="Q33" s="174" t="s">
        <v>1011</v>
      </c>
      <c r="R33" s="174" t="s">
        <v>975</v>
      </c>
      <c r="S33" s="174" t="s">
        <v>911</v>
      </c>
      <c r="T33" s="174" t="s">
        <v>906</v>
      </c>
      <c r="U33" s="174" t="s">
        <v>4172</v>
      </c>
      <c r="V33" s="174" t="s">
        <v>4173</v>
      </c>
      <c r="W33" s="174" t="s">
        <v>1054</v>
      </c>
      <c r="X33" s="174" t="s">
        <v>961</v>
      </c>
      <c r="Y33" s="174" t="s">
        <v>962</v>
      </c>
      <c r="Z33" s="174" t="s">
        <v>3522</v>
      </c>
      <c r="AA33" s="174" t="s">
        <v>3523</v>
      </c>
      <c r="AB33" s="174" t="s">
        <v>3524</v>
      </c>
    </row>
    <row r="34" spans="1:71" x14ac:dyDescent="0.2">
      <c r="A34" s="174" t="s">
        <v>3538</v>
      </c>
      <c r="B34" s="204" t="e">
        <f>VLOOKUP(Stats!$B$2,$B$44:$D$108,3,0)</f>
        <v>#N/A</v>
      </c>
      <c r="G34" s="185">
        <v>1</v>
      </c>
      <c r="H34" s="223">
        <v>2</v>
      </c>
      <c r="I34" s="223">
        <v>3</v>
      </c>
      <c r="J34" s="223">
        <v>4</v>
      </c>
      <c r="K34" s="223">
        <v>5</v>
      </c>
      <c r="L34" s="223">
        <v>6</v>
      </c>
      <c r="M34" s="223">
        <v>7</v>
      </c>
      <c r="N34" s="223">
        <v>8</v>
      </c>
      <c r="O34" s="223">
        <v>9</v>
      </c>
      <c r="P34" s="223">
        <v>10</v>
      </c>
      <c r="Q34" s="223">
        <v>11</v>
      </c>
      <c r="R34" s="223">
        <v>12</v>
      </c>
      <c r="S34" s="223">
        <v>13</v>
      </c>
      <c r="T34" s="223">
        <v>14</v>
      </c>
      <c r="U34" s="223">
        <v>15</v>
      </c>
      <c r="V34" s="223">
        <v>16</v>
      </c>
      <c r="W34" s="223">
        <v>17</v>
      </c>
      <c r="X34" s="223">
        <v>18</v>
      </c>
      <c r="Y34" s="223">
        <v>19</v>
      </c>
      <c r="Z34" s="223">
        <v>20</v>
      </c>
      <c r="AA34" s="223">
        <v>21</v>
      </c>
      <c r="AB34" s="223">
        <v>22</v>
      </c>
      <c r="AC34" s="223"/>
      <c r="AD34" s="223"/>
      <c r="AE34" s="223"/>
      <c r="AF34" s="223"/>
      <c r="AG34" s="223" t="s">
        <v>4177</v>
      </c>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185"/>
      <c r="BP34" s="185"/>
      <c r="BQ34" s="185"/>
      <c r="BR34" s="185"/>
      <c r="BS34" s="185"/>
    </row>
    <row r="35" spans="1:71" x14ac:dyDescent="0.2">
      <c r="A35" s="174" t="s">
        <v>3539</v>
      </c>
      <c r="B35" s="204" t="e">
        <f>VLOOKUP(Stats!$B$2,$B$44:$E$108,4,0)</f>
        <v>#N/A</v>
      </c>
      <c r="G35" s="185">
        <v>1</v>
      </c>
      <c r="H35" s="223">
        <v>-6</v>
      </c>
      <c r="I35" s="223">
        <v>-8</v>
      </c>
      <c r="J35" s="223">
        <v>-6</v>
      </c>
      <c r="K35" s="223">
        <v>-8</v>
      </c>
      <c r="L35" s="223">
        <v>-8</v>
      </c>
      <c r="M35" s="223">
        <v>-8</v>
      </c>
      <c r="N35" s="223">
        <v>-8</v>
      </c>
      <c r="O35" s="223">
        <v>-8</v>
      </c>
      <c r="P35" s="223">
        <v>-8</v>
      </c>
      <c r="Q35" s="223">
        <v>-6</v>
      </c>
      <c r="R35" s="223">
        <v>-8</v>
      </c>
      <c r="S35" s="223">
        <v>-8</v>
      </c>
      <c r="T35" s="223">
        <v>-8</v>
      </c>
      <c r="U35" s="223">
        <v>-8</v>
      </c>
      <c r="V35" s="223">
        <v>-8</v>
      </c>
      <c r="W35" s="223">
        <v>-8</v>
      </c>
      <c r="X35" s="223">
        <v>-6</v>
      </c>
      <c r="Y35" s="223">
        <v>-6</v>
      </c>
      <c r="Z35" s="223">
        <v>-8</v>
      </c>
      <c r="AA35" s="223">
        <v>-6</v>
      </c>
      <c r="AB35" s="223">
        <v>-8</v>
      </c>
      <c r="AC35" s="223"/>
      <c r="AD35" s="223"/>
      <c r="AE35" s="223"/>
      <c r="AF35" s="223"/>
      <c r="AG35" s="223" t="s">
        <v>4178</v>
      </c>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185"/>
      <c r="BP35" s="185"/>
      <c r="BQ35" s="185"/>
      <c r="BR35" s="185"/>
      <c r="BS35" s="185"/>
    </row>
    <row r="36" spans="1:71" x14ac:dyDescent="0.2">
      <c r="A36" s="174" t="s">
        <v>3540</v>
      </c>
      <c r="B36" s="174" t="e">
        <f>$B$35*$B$33</f>
        <v>#N/A</v>
      </c>
      <c r="G36" s="185">
        <v>2</v>
      </c>
      <c r="H36" s="223">
        <v>-5</v>
      </c>
      <c r="I36" s="223">
        <v>-7</v>
      </c>
      <c r="J36" s="223">
        <v>-5</v>
      </c>
      <c r="K36" s="223">
        <v>-7</v>
      </c>
      <c r="L36" s="223">
        <v>-7</v>
      </c>
      <c r="M36" s="223">
        <v>-7</v>
      </c>
      <c r="N36" s="223">
        <v>-7</v>
      </c>
      <c r="O36" s="223">
        <v>-7</v>
      </c>
      <c r="P36" s="223">
        <v>-7</v>
      </c>
      <c r="Q36" s="223">
        <v>-5</v>
      </c>
      <c r="R36" s="223">
        <v>-7</v>
      </c>
      <c r="S36" s="223">
        <v>-7</v>
      </c>
      <c r="T36" s="223">
        <v>-7</v>
      </c>
      <c r="U36" s="223">
        <v>-7</v>
      </c>
      <c r="V36" s="223">
        <v>-7</v>
      </c>
      <c r="W36" s="223">
        <v>-7</v>
      </c>
      <c r="X36" s="223">
        <v>-5</v>
      </c>
      <c r="Y36" s="223">
        <v>-5</v>
      </c>
      <c r="Z36" s="223">
        <v>-7</v>
      </c>
      <c r="AA36" s="223">
        <v>-5</v>
      </c>
      <c r="AB36" s="223">
        <v>-7</v>
      </c>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185"/>
      <c r="BP36" s="185"/>
      <c r="BQ36" s="185"/>
      <c r="BR36" s="185"/>
      <c r="BS36" s="185"/>
    </row>
    <row r="37" spans="1:71" x14ac:dyDescent="0.2">
      <c r="A37" s="174" t="s">
        <v>3541</v>
      </c>
      <c r="B37" s="204" t="e">
        <f>Stats!$B$3*$B$34+$B$36</f>
        <v>#N/A</v>
      </c>
      <c r="D37" s="174" t="s">
        <v>3542</v>
      </c>
      <c r="E37" s="174">
        <v>120</v>
      </c>
      <c r="G37" s="185">
        <v>3</v>
      </c>
      <c r="H37" s="223">
        <v>-4</v>
      </c>
      <c r="I37" s="223">
        <v>-6</v>
      </c>
      <c r="J37" s="223">
        <v>-5</v>
      </c>
      <c r="K37" s="223">
        <v>-6</v>
      </c>
      <c r="L37" s="223">
        <v>-6</v>
      </c>
      <c r="M37" s="223">
        <v>-6</v>
      </c>
      <c r="N37" s="223">
        <v>-6</v>
      </c>
      <c r="O37" s="223">
        <v>-6</v>
      </c>
      <c r="P37" s="223">
        <v>-7</v>
      </c>
      <c r="Q37" s="223">
        <v>-4</v>
      </c>
      <c r="R37" s="223">
        <v>-6</v>
      </c>
      <c r="S37" s="223">
        <v>-6</v>
      </c>
      <c r="T37" s="223">
        <v>-6</v>
      </c>
      <c r="U37" s="223">
        <v>-6</v>
      </c>
      <c r="V37" s="223">
        <v>-6</v>
      </c>
      <c r="W37" s="223">
        <v>-6</v>
      </c>
      <c r="X37" s="223">
        <v>-5</v>
      </c>
      <c r="Y37" s="223">
        <v>-5</v>
      </c>
      <c r="Z37" s="223">
        <v>-7</v>
      </c>
      <c r="AA37" s="223">
        <v>-4</v>
      </c>
      <c r="AB37" s="223">
        <v>-7</v>
      </c>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185"/>
      <c r="BP37" s="185"/>
      <c r="BQ37" s="185"/>
      <c r="BR37" s="185"/>
      <c r="BS37" s="185"/>
    </row>
    <row r="38" spans="1:71" x14ac:dyDescent="0.2">
      <c r="E38" s="174">
        <v>29.25</v>
      </c>
      <c r="G38" s="185">
        <v>4</v>
      </c>
      <c r="H38" s="223">
        <v>-4</v>
      </c>
      <c r="I38" s="223">
        <v>-5</v>
      </c>
      <c r="J38" s="223">
        <v>-3</v>
      </c>
      <c r="K38" s="223">
        <v>-5</v>
      </c>
      <c r="L38" s="223">
        <v>-5</v>
      </c>
      <c r="M38" s="223">
        <v>-5</v>
      </c>
      <c r="N38" s="223">
        <v>-5</v>
      </c>
      <c r="O38" s="223">
        <v>-5</v>
      </c>
      <c r="P38" s="223">
        <v>-6</v>
      </c>
      <c r="Q38" s="223">
        <v>-3</v>
      </c>
      <c r="R38" s="223">
        <v>-5</v>
      </c>
      <c r="S38" s="223">
        <v>-5</v>
      </c>
      <c r="T38" s="223">
        <v>-5</v>
      </c>
      <c r="U38" s="223">
        <v>-5</v>
      </c>
      <c r="V38" s="223">
        <v>-5</v>
      </c>
      <c r="W38" s="223">
        <v>-5</v>
      </c>
      <c r="X38" s="223">
        <v>-3</v>
      </c>
      <c r="Y38" s="223">
        <v>-3</v>
      </c>
      <c r="Z38" s="223">
        <v>-6</v>
      </c>
      <c r="AA38" s="223">
        <v>-3</v>
      </c>
      <c r="AB38" s="223">
        <v>-6</v>
      </c>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185"/>
      <c r="BP38" s="185"/>
      <c r="BQ38" s="185"/>
      <c r="BR38" s="185"/>
      <c r="BS38" s="185"/>
    </row>
    <row r="39" spans="1:71" x14ac:dyDescent="0.2">
      <c r="C39" s="204"/>
      <c r="D39" s="204"/>
      <c r="E39" s="204">
        <f>E38/120</f>
        <v>0.24374999999999999</v>
      </c>
      <c r="G39" s="185">
        <v>5</v>
      </c>
      <c r="H39" s="223">
        <v>-4</v>
      </c>
      <c r="I39" s="223">
        <v>-4</v>
      </c>
      <c r="J39" s="223">
        <v>-3</v>
      </c>
      <c r="K39" s="223">
        <v>-5</v>
      </c>
      <c r="L39" s="223">
        <v>-5</v>
      </c>
      <c r="M39" s="223">
        <v>-5</v>
      </c>
      <c r="N39" s="223">
        <v>-5</v>
      </c>
      <c r="O39" s="223">
        <v>-5</v>
      </c>
      <c r="P39" s="223">
        <v>-6</v>
      </c>
      <c r="Q39" s="223">
        <v>-3</v>
      </c>
      <c r="R39" s="223">
        <v>-5</v>
      </c>
      <c r="S39" s="223">
        <v>-5</v>
      </c>
      <c r="T39" s="223">
        <v>-5</v>
      </c>
      <c r="U39" s="223">
        <v>-4</v>
      </c>
      <c r="V39" s="223">
        <v>-4</v>
      </c>
      <c r="W39" s="223">
        <v>-4</v>
      </c>
      <c r="X39" s="223">
        <v>-3</v>
      </c>
      <c r="Y39" s="223">
        <v>-3</v>
      </c>
      <c r="Z39" s="223">
        <v>-6</v>
      </c>
      <c r="AA39" s="223">
        <v>-3</v>
      </c>
      <c r="AB39" s="223">
        <v>-6</v>
      </c>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185"/>
      <c r="BP39" s="185"/>
      <c r="BQ39" s="185"/>
      <c r="BR39" s="185"/>
      <c r="BS39" s="185"/>
    </row>
    <row r="40" spans="1:71" x14ac:dyDescent="0.2">
      <c r="B40" s="204"/>
      <c r="G40" s="185">
        <v>6</v>
      </c>
      <c r="H40" s="223">
        <v>-3</v>
      </c>
      <c r="I40" s="223">
        <v>-4</v>
      </c>
      <c r="J40" s="223">
        <v>-3</v>
      </c>
      <c r="K40" s="223">
        <v>-4</v>
      </c>
      <c r="L40" s="223">
        <v>-4</v>
      </c>
      <c r="M40" s="223">
        <v>-4</v>
      </c>
      <c r="N40" s="223">
        <v>-4</v>
      </c>
      <c r="O40" s="223">
        <v>-4</v>
      </c>
      <c r="P40" s="223">
        <v>-6</v>
      </c>
      <c r="Q40" s="223">
        <v>-2</v>
      </c>
      <c r="R40" s="223">
        <v>-4</v>
      </c>
      <c r="S40" s="223">
        <v>-4</v>
      </c>
      <c r="T40" s="223">
        <v>-4</v>
      </c>
      <c r="U40" s="223">
        <v>-4</v>
      </c>
      <c r="V40" s="223">
        <v>-4</v>
      </c>
      <c r="W40" s="223">
        <v>-4</v>
      </c>
      <c r="X40" s="223">
        <v>-3</v>
      </c>
      <c r="Y40" s="223">
        <v>-3</v>
      </c>
      <c r="Z40" s="223">
        <v>-6</v>
      </c>
      <c r="AA40" s="223">
        <v>-2</v>
      </c>
      <c r="AB40" s="223">
        <v>-6</v>
      </c>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185"/>
      <c r="BP40" s="185"/>
      <c r="BQ40" s="185"/>
      <c r="BR40" s="185"/>
      <c r="BS40" s="185"/>
    </row>
    <row r="41" spans="1:71" x14ac:dyDescent="0.2">
      <c r="G41" s="185">
        <v>7</v>
      </c>
      <c r="H41" s="223">
        <v>-3</v>
      </c>
      <c r="I41" s="223">
        <v>-4</v>
      </c>
      <c r="J41" s="223">
        <v>-3</v>
      </c>
      <c r="K41" s="223">
        <v>-4</v>
      </c>
      <c r="L41" s="223">
        <v>-4</v>
      </c>
      <c r="M41" s="223">
        <v>-4</v>
      </c>
      <c r="N41" s="223">
        <v>-4</v>
      </c>
      <c r="O41" s="223">
        <v>-4</v>
      </c>
      <c r="P41" s="223">
        <v>-5</v>
      </c>
      <c r="Q41" s="223">
        <v>-2</v>
      </c>
      <c r="R41" s="223">
        <v>-4</v>
      </c>
      <c r="S41" s="223">
        <v>-4</v>
      </c>
      <c r="T41" s="223">
        <v>-4</v>
      </c>
      <c r="U41" s="223">
        <v>-4</v>
      </c>
      <c r="V41" s="223">
        <v>-4</v>
      </c>
      <c r="W41" s="223">
        <v>-4</v>
      </c>
      <c r="X41" s="223">
        <v>-3</v>
      </c>
      <c r="Y41" s="223">
        <v>-3</v>
      </c>
      <c r="Z41" s="223">
        <v>-5</v>
      </c>
      <c r="AA41" s="223">
        <v>-2</v>
      </c>
      <c r="AB41" s="223">
        <v>-5</v>
      </c>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185"/>
      <c r="BP41" s="185"/>
      <c r="BQ41" s="185"/>
      <c r="BR41" s="185"/>
      <c r="BS41" s="185"/>
    </row>
    <row r="42" spans="1:71" x14ac:dyDescent="0.2">
      <c r="B42" s="182" t="s">
        <v>3543</v>
      </c>
      <c r="C42" s="182">
        <f>VLOOKUP(Stats!$B$2,$B$44:$C$108,2)</f>
        <v>19</v>
      </c>
      <c r="D42" s="226" t="s">
        <v>3544</v>
      </c>
      <c r="E42" s="226" t="s">
        <v>375</v>
      </c>
      <c r="G42" s="185">
        <v>8</v>
      </c>
      <c r="H42" s="223">
        <v>-3</v>
      </c>
      <c r="I42" s="223">
        <v>-4</v>
      </c>
      <c r="J42" s="223">
        <v>-3</v>
      </c>
      <c r="K42" s="223">
        <v>-4</v>
      </c>
      <c r="L42" s="223">
        <v>-4</v>
      </c>
      <c r="M42" s="223">
        <v>-4</v>
      </c>
      <c r="N42" s="223">
        <v>-4</v>
      </c>
      <c r="O42" s="223">
        <v>-4</v>
      </c>
      <c r="P42" s="223">
        <v>-5</v>
      </c>
      <c r="Q42" s="223">
        <v>-2</v>
      </c>
      <c r="R42" s="223">
        <v>-4</v>
      </c>
      <c r="S42" s="223">
        <v>-4</v>
      </c>
      <c r="T42" s="223">
        <v>-4</v>
      </c>
      <c r="U42" s="223">
        <v>-4</v>
      </c>
      <c r="V42" s="223">
        <v>-4</v>
      </c>
      <c r="W42" s="223">
        <v>-4</v>
      </c>
      <c r="X42" s="223">
        <v>-3</v>
      </c>
      <c r="Y42" s="223">
        <v>-3</v>
      </c>
      <c r="Z42" s="223">
        <v>-5</v>
      </c>
      <c r="AA42" s="223">
        <v>-2</v>
      </c>
      <c r="AB42" s="223">
        <v>-5</v>
      </c>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185"/>
      <c r="BP42" s="185"/>
      <c r="BQ42" s="185"/>
      <c r="BR42" s="185"/>
      <c r="BS42" s="185"/>
    </row>
    <row r="43" spans="1:71" x14ac:dyDescent="0.2">
      <c r="A43" s="226" t="s">
        <v>3543</v>
      </c>
      <c r="B43" s="226" t="s">
        <v>3545</v>
      </c>
      <c r="C43" s="226" t="s">
        <v>3546</v>
      </c>
      <c r="D43" s="226" t="s">
        <v>375</v>
      </c>
      <c r="E43" s="226" t="s">
        <v>3547</v>
      </c>
      <c r="G43" s="185">
        <v>9</v>
      </c>
      <c r="H43" s="223">
        <v>-3</v>
      </c>
      <c r="I43" s="223">
        <v>-4</v>
      </c>
      <c r="J43" s="223">
        <v>-3</v>
      </c>
      <c r="K43" s="223">
        <v>-4</v>
      </c>
      <c r="L43" s="223">
        <v>-4</v>
      </c>
      <c r="M43" s="223">
        <v>-4</v>
      </c>
      <c r="N43" s="223">
        <v>-4</v>
      </c>
      <c r="O43" s="223">
        <v>-4</v>
      </c>
      <c r="P43" s="223">
        <v>-5</v>
      </c>
      <c r="Q43" s="223">
        <v>-2</v>
      </c>
      <c r="R43" s="223">
        <v>-4</v>
      </c>
      <c r="S43" s="223">
        <v>-4</v>
      </c>
      <c r="T43" s="223">
        <v>-4</v>
      </c>
      <c r="U43" s="223">
        <v>-4</v>
      </c>
      <c r="V43" s="223">
        <v>-4</v>
      </c>
      <c r="W43" s="223">
        <v>-4</v>
      </c>
      <c r="X43" s="223">
        <v>-3</v>
      </c>
      <c r="Y43" s="223">
        <v>-3</v>
      </c>
      <c r="Z43" s="223">
        <v>-5</v>
      </c>
      <c r="AA43" s="223">
        <v>-2</v>
      </c>
      <c r="AB43" s="223">
        <v>-5</v>
      </c>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185"/>
      <c r="BP43" s="185"/>
      <c r="BQ43" s="185"/>
      <c r="BR43" s="185"/>
      <c r="BS43" s="185"/>
    </row>
    <row r="44" spans="1:71" x14ac:dyDescent="0.2">
      <c r="A44" s="174" t="s">
        <v>936</v>
      </c>
      <c r="B44" s="174" t="s">
        <v>937</v>
      </c>
      <c r="C44" s="174">
        <v>9</v>
      </c>
      <c r="D44" s="204">
        <v>51.566997121842014</v>
      </c>
      <c r="E44" s="204">
        <v>1.3098017268947899</v>
      </c>
      <c r="G44" s="185">
        <v>10</v>
      </c>
      <c r="H44" s="223">
        <v>-3</v>
      </c>
      <c r="I44" s="223">
        <v>-4</v>
      </c>
      <c r="J44" s="223">
        <v>-3</v>
      </c>
      <c r="K44" s="223">
        <v>-4</v>
      </c>
      <c r="L44" s="223">
        <v>-4</v>
      </c>
      <c r="M44" s="223">
        <v>-4</v>
      </c>
      <c r="N44" s="223">
        <v>-4</v>
      </c>
      <c r="O44" s="223">
        <v>-4</v>
      </c>
      <c r="P44" s="223">
        <v>-5</v>
      </c>
      <c r="Q44" s="223">
        <v>-2</v>
      </c>
      <c r="R44" s="223">
        <v>-4</v>
      </c>
      <c r="S44" s="223">
        <v>-4</v>
      </c>
      <c r="T44" s="223">
        <v>-4</v>
      </c>
      <c r="U44" s="223">
        <v>-4</v>
      </c>
      <c r="V44" s="223">
        <v>-4</v>
      </c>
      <c r="W44" s="223">
        <v>-4</v>
      </c>
      <c r="X44" s="223">
        <v>-3</v>
      </c>
      <c r="Y44" s="223">
        <v>-3</v>
      </c>
      <c r="Z44" s="223">
        <v>-5</v>
      </c>
      <c r="AA44" s="223">
        <v>-2</v>
      </c>
      <c r="AB44" s="223">
        <v>-5</v>
      </c>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185"/>
      <c r="BP44" s="185"/>
      <c r="BQ44" s="185"/>
      <c r="BR44" s="185"/>
      <c r="BS44" s="185"/>
    </row>
    <row r="45" spans="1:71" x14ac:dyDescent="0.2">
      <c r="A45" s="174" t="s">
        <v>907</v>
      </c>
      <c r="B45" s="174" t="s">
        <v>967</v>
      </c>
      <c r="C45" s="174">
        <v>7</v>
      </c>
      <c r="D45" s="204">
        <v>36.764705882352935</v>
      </c>
      <c r="E45" s="204">
        <v>0.93382352941176805</v>
      </c>
      <c r="G45" s="185">
        <v>11</v>
      </c>
      <c r="H45" s="223">
        <v>-2</v>
      </c>
      <c r="I45" s="223">
        <v>-4</v>
      </c>
      <c r="J45" s="223">
        <v>-2</v>
      </c>
      <c r="K45" s="223">
        <v>-4</v>
      </c>
      <c r="L45" s="223">
        <v>-4</v>
      </c>
      <c r="M45" s="223">
        <v>-4</v>
      </c>
      <c r="N45" s="223">
        <v>-4</v>
      </c>
      <c r="O45" s="223">
        <v>-4</v>
      </c>
      <c r="P45" s="223">
        <v>-4</v>
      </c>
      <c r="Q45" s="223">
        <v>-2</v>
      </c>
      <c r="R45" s="223">
        <v>-4</v>
      </c>
      <c r="S45" s="223">
        <v>-4</v>
      </c>
      <c r="T45" s="223">
        <v>-4</v>
      </c>
      <c r="U45" s="223">
        <v>-4</v>
      </c>
      <c r="V45" s="223">
        <v>-4</v>
      </c>
      <c r="W45" s="223">
        <v>-4</v>
      </c>
      <c r="X45" s="223">
        <v>-2</v>
      </c>
      <c r="Y45" s="223">
        <v>-2</v>
      </c>
      <c r="Z45" s="223">
        <v>-4</v>
      </c>
      <c r="AA45" s="223">
        <v>-2</v>
      </c>
      <c r="AB45" s="223">
        <v>-4</v>
      </c>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185"/>
      <c r="BP45" s="185"/>
      <c r="BQ45" s="185"/>
      <c r="BR45" s="185"/>
      <c r="BS45" s="185"/>
    </row>
    <row r="46" spans="1:71" x14ac:dyDescent="0.2">
      <c r="A46" s="174" t="s">
        <v>990</v>
      </c>
      <c r="B46" s="174" t="s">
        <v>178</v>
      </c>
      <c r="C46" s="174">
        <v>9</v>
      </c>
      <c r="D46" s="204">
        <v>51.566997121842014</v>
      </c>
      <c r="E46" s="204">
        <v>1.3098017268947899</v>
      </c>
      <c r="G46" s="185">
        <v>12</v>
      </c>
      <c r="H46" s="223">
        <v>-2</v>
      </c>
      <c r="I46" s="223">
        <v>-3</v>
      </c>
      <c r="J46" s="223">
        <v>-2</v>
      </c>
      <c r="K46" s="223">
        <v>-3</v>
      </c>
      <c r="L46" s="223">
        <v>-3</v>
      </c>
      <c r="M46" s="223">
        <v>-3</v>
      </c>
      <c r="N46" s="223">
        <v>-3</v>
      </c>
      <c r="O46" s="223">
        <v>-3</v>
      </c>
      <c r="P46" s="223">
        <v>-4</v>
      </c>
      <c r="Q46" s="223">
        <v>-2</v>
      </c>
      <c r="R46" s="223">
        <v>-3</v>
      </c>
      <c r="S46" s="223">
        <v>-3</v>
      </c>
      <c r="T46" s="223">
        <v>-3</v>
      </c>
      <c r="U46" s="223">
        <v>-3</v>
      </c>
      <c r="V46" s="223">
        <v>-3</v>
      </c>
      <c r="W46" s="223">
        <v>-3</v>
      </c>
      <c r="X46" s="223">
        <v>-2</v>
      </c>
      <c r="Y46" s="223">
        <v>-2</v>
      </c>
      <c r="Z46" s="223">
        <v>-4</v>
      </c>
      <c r="AA46" s="223">
        <v>-2</v>
      </c>
      <c r="AB46" s="223">
        <v>-4</v>
      </c>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185"/>
      <c r="BP46" s="185"/>
      <c r="BQ46" s="185"/>
      <c r="BR46" s="185"/>
      <c r="BS46" s="185"/>
    </row>
    <row r="47" spans="1:71" x14ac:dyDescent="0.2">
      <c r="A47" s="174" t="s">
        <v>936</v>
      </c>
      <c r="B47" s="174" t="s">
        <v>945</v>
      </c>
      <c r="C47" s="174">
        <v>9</v>
      </c>
      <c r="D47" s="204">
        <v>51.566997121842014</v>
      </c>
      <c r="E47" s="204">
        <v>1.3098017268947899</v>
      </c>
      <c r="G47" s="185">
        <v>13</v>
      </c>
      <c r="H47" s="223">
        <v>-2</v>
      </c>
      <c r="I47" s="223">
        <v>-3</v>
      </c>
      <c r="J47" s="223">
        <v>-2</v>
      </c>
      <c r="K47" s="223">
        <v>-3</v>
      </c>
      <c r="L47" s="223">
        <v>-3</v>
      </c>
      <c r="M47" s="223">
        <v>-3</v>
      </c>
      <c r="N47" s="223">
        <v>-3</v>
      </c>
      <c r="O47" s="223">
        <v>-3</v>
      </c>
      <c r="P47" s="223">
        <v>-4</v>
      </c>
      <c r="Q47" s="223">
        <v>-1</v>
      </c>
      <c r="R47" s="223">
        <v>-3</v>
      </c>
      <c r="S47" s="223">
        <v>-3</v>
      </c>
      <c r="T47" s="223">
        <v>-3</v>
      </c>
      <c r="U47" s="223">
        <v>-3</v>
      </c>
      <c r="V47" s="223">
        <v>-3</v>
      </c>
      <c r="W47" s="223">
        <v>-3</v>
      </c>
      <c r="X47" s="223">
        <v>-2</v>
      </c>
      <c r="Y47" s="223">
        <v>-2</v>
      </c>
      <c r="Z47" s="223">
        <v>-4</v>
      </c>
      <c r="AA47" s="223">
        <v>-1</v>
      </c>
      <c r="AB47" s="223">
        <v>-4</v>
      </c>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185"/>
      <c r="BP47" s="185"/>
      <c r="BQ47" s="185"/>
      <c r="BR47" s="185"/>
      <c r="BS47" s="185"/>
    </row>
    <row r="48" spans="1:71" x14ac:dyDescent="0.2">
      <c r="A48" s="174" t="s">
        <v>907</v>
      </c>
      <c r="B48" s="174" t="s">
        <v>968</v>
      </c>
      <c r="C48" s="174">
        <v>7</v>
      </c>
      <c r="D48" s="204">
        <v>36.764705882352935</v>
      </c>
      <c r="E48" s="204">
        <v>0.93382352941176805</v>
      </c>
      <c r="G48" s="185">
        <v>14</v>
      </c>
      <c r="H48" s="223">
        <v>-2</v>
      </c>
      <c r="I48" s="223">
        <v>-3</v>
      </c>
      <c r="J48" s="223">
        <v>-2</v>
      </c>
      <c r="K48" s="223">
        <v>-3</v>
      </c>
      <c r="L48" s="223">
        <v>-3</v>
      </c>
      <c r="M48" s="223">
        <v>-3</v>
      </c>
      <c r="N48" s="223">
        <v>-3</v>
      </c>
      <c r="O48" s="223">
        <v>-3</v>
      </c>
      <c r="P48" s="223">
        <v>-4</v>
      </c>
      <c r="Q48" s="223">
        <v>-1</v>
      </c>
      <c r="R48" s="223">
        <v>-3</v>
      </c>
      <c r="S48" s="223">
        <v>-3</v>
      </c>
      <c r="T48" s="223">
        <v>-3</v>
      </c>
      <c r="U48" s="223">
        <v>-3</v>
      </c>
      <c r="V48" s="223">
        <v>-3</v>
      </c>
      <c r="W48" s="223">
        <v>-3</v>
      </c>
      <c r="X48" s="223">
        <v>-2</v>
      </c>
      <c r="Y48" s="223">
        <v>-2</v>
      </c>
      <c r="Z48" s="223">
        <v>-4</v>
      </c>
      <c r="AA48" s="223">
        <v>-1</v>
      </c>
      <c r="AB48" s="223">
        <v>-4</v>
      </c>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185"/>
      <c r="BP48" s="185"/>
      <c r="BQ48" s="185"/>
      <c r="BR48" s="185"/>
      <c r="BS48" s="185"/>
    </row>
    <row r="49" spans="1:71" x14ac:dyDescent="0.2">
      <c r="A49" s="174" t="s">
        <v>936</v>
      </c>
      <c r="B49" s="174" t="s">
        <v>947</v>
      </c>
      <c r="C49" s="174">
        <v>9</v>
      </c>
      <c r="D49" s="204">
        <v>51.566997121842014</v>
      </c>
      <c r="E49" s="204">
        <v>1.3098017268947899</v>
      </c>
      <c r="G49" s="185">
        <v>15</v>
      </c>
      <c r="H49" s="223">
        <v>-2</v>
      </c>
      <c r="I49" s="223">
        <v>-3</v>
      </c>
      <c r="J49" s="223">
        <v>-2</v>
      </c>
      <c r="K49" s="223">
        <v>-3</v>
      </c>
      <c r="L49" s="223">
        <v>-3</v>
      </c>
      <c r="M49" s="223">
        <v>-3</v>
      </c>
      <c r="N49" s="223">
        <v>-3</v>
      </c>
      <c r="O49" s="223">
        <v>-3</v>
      </c>
      <c r="P49" s="223">
        <v>-4</v>
      </c>
      <c r="Q49" s="223">
        <v>-1</v>
      </c>
      <c r="R49" s="223">
        <v>-3</v>
      </c>
      <c r="S49" s="223">
        <v>-3</v>
      </c>
      <c r="T49" s="223">
        <v>-3</v>
      </c>
      <c r="U49" s="223">
        <v>-3</v>
      </c>
      <c r="V49" s="223">
        <v>-3</v>
      </c>
      <c r="W49" s="223">
        <v>-3</v>
      </c>
      <c r="X49" s="223">
        <v>-2</v>
      </c>
      <c r="Y49" s="223">
        <v>-2</v>
      </c>
      <c r="Z49" s="223">
        <v>-4</v>
      </c>
      <c r="AA49" s="223">
        <v>-1</v>
      </c>
      <c r="AB49" s="223">
        <v>-4</v>
      </c>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185"/>
      <c r="BP49" s="185"/>
      <c r="BQ49" s="185"/>
      <c r="BR49" s="185"/>
      <c r="BS49" s="185"/>
    </row>
    <row r="50" spans="1:71" x14ac:dyDescent="0.2">
      <c r="A50" s="174" t="s">
        <v>1011</v>
      </c>
      <c r="B50" s="174" t="s">
        <v>978</v>
      </c>
      <c r="C50" s="174">
        <v>11</v>
      </c>
      <c r="D50" s="204">
        <v>115.90909090909088</v>
      </c>
      <c r="E50" s="204">
        <v>2.9440909090908463</v>
      </c>
      <c r="G50" s="185">
        <v>16</v>
      </c>
      <c r="H50" s="223">
        <v>-2</v>
      </c>
      <c r="I50" s="223">
        <v>-3</v>
      </c>
      <c r="J50" s="223">
        <v>-2</v>
      </c>
      <c r="K50" s="223">
        <v>-3</v>
      </c>
      <c r="L50" s="223">
        <v>-3</v>
      </c>
      <c r="M50" s="223">
        <v>-3</v>
      </c>
      <c r="N50" s="223">
        <v>-3</v>
      </c>
      <c r="O50" s="223">
        <v>-3</v>
      </c>
      <c r="P50" s="223">
        <v>-4</v>
      </c>
      <c r="Q50" s="223">
        <v>-1</v>
      </c>
      <c r="R50" s="223">
        <v>-3</v>
      </c>
      <c r="S50" s="223">
        <v>-3</v>
      </c>
      <c r="T50" s="223">
        <v>-3</v>
      </c>
      <c r="U50" s="223">
        <v>-3</v>
      </c>
      <c r="V50" s="223">
        <v>-3</v>
      </c>
      <c r="W50" s="223">
        <v>-3</v>
      </c>
      <c r="X50" s="223">
        <v>-2</v>
      </c>
      <c r="Y50" s="223">
        <v>-2</v>
      </c>
      <c r="Z50" s="223">
        <v>-4</v>
      </c>
      <c r="AA50" s="223">
        <v>-1</v>
      </c>
      <c r="AB50" s="223">
        <v>-4</v>
      </c>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185"/>
      <c r="BP50" s="185"/>
      <c r="BQ50" s="185"/>
      <c r="BR50" s="185"/>
      <c r="BS50" s="185"/>
    </row>
    <row r="51" spans="1:71" x14ac:dyDescent="0.2">
      <c r="A51" s="174" t="s">
        <v>1034</v>
      </c>
      <c r="B51" s="174" t="s">
        <v>908</v>
      </c>
      <c r="C51" s="174">
        <v>8</v>
      </c>
      <c r="D51" s="204">
        <v>35.955746773202208</v>
      </c>
      <c r="E51" s="204">
        <v>0.91327596803933642</v>
      </c>
      <c r="G51" s="185">
        <v>17</v>
      </c>
      <c r="H51" s="223">
        <v>-2</v>
      </c>
      <c r="I51" s="223">
        <v>-3</v>
      </c>
      <c r="J51" s="223">
        <v>-2</v>
      </c>
      <c r="K51" s="223">
        <v>-3</v>
      </c>
      <c r="L51" s="223">
        <v>-3</v>
      </c>
      <c r="M51" s="223">
        <v>-3</v>
      </c>
      <c r="N51" s="223">
        <v>-3</v>
      </c>
      <c r="O51" s="223">
        <v>-3</v>
      </c>
      <c r="P51" s="223">
        <v>-4</v>
      </c>
      <c r="Q51" s="223">
        <v>-1</v>
      </c>
      <c r="R51" s="223">
        <v>-3</v>
      </c>
      <c r="S51" s="223">
        <v>-3</v>
      </c>
      <c r="T51" s="223">
        <v>-3</v>
      </c>
      <c r="U51" s="223">
        <v>-3</v>
      </c>
      <c r="V51" s="223">
        <v>-3</v>
      </c>
      <c r="W51" s="223">
        <v>-3</v>
      </c>
      <c r="X51" s="223">
        <v>-2</v>
      </c>
      <c r="Y51" s="223">
        <v>-2</v>
      </c>
      <c r="Z51" s="223">
        <v>-4</v>
      </c>
      <c r="AA51" s="223">
        <v>-1</v>
      </c>
      <c r="AB51" s="223">
        <v>-4</v>
      </c>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185"/>
      <c r="BP51" s="185"/>
      <c r="BQ51" s="185"/>
      <c r="BR51" s="185"/>
      <c r="BS51" s="185"/>
    </row>
    <row r="52" spans="1:71" x14ac:dyDescent="0.2">
      <c r="A52" s="174" t="s">
        <v>1013</v>
      </c>
      <c r="B52" s="174" t="s">
        <v>913</v>
      </c>
      <c r="C52" s="174">
        <v>10</v>
      </c>
      <c r="D52" s="204">
        <v>24.375</v>
      </c>
      <c r="E52" s="204">
        <v>0.61912500000000392</v>
      </c>
      <c r="G52" s="185">
        <v>18</v>
      </c>
      <c r="H52" s="223">
        <v>-2</v>
      </c>
      <c r="I52" s="223">
        <v>-3</v>
      </c>
      <c r="J52" s="223">
        <v>-1</v>
      </c>
      <c r="K52" s="223">
        <v>-3</v>
      </c>
      <c r="L52" s="223">
        <v>-3</v>
      </c>
      <c r="M52" s="223">
        <v>-3</v>
      </c>
      <c r="N52" s="223">
        <v>-3</v>
      </c>
      <c r="O52" s="223">
        <v>-3</v>
      </c>
      <c r="P52" s="223">
        <v>-3</v>
      </c>
      <c r="Q52" s="223">
        <v>-1</v>
      </c>
      <c r="R52" s="223">
        <v>-3</v>
      </c>
      <c r="S52" s="223">
        <v>-3</v>
      </c>
      <c r="T52" s="223">
        <v>-3</v>
      </c>
      <c r="U52" s="223">
        <v>-3</v>
      </c>
      <c r="V52" s="223">
        <v>-3</v>
      </c>
      <c r="W52" s="223">
        <v>-3</v>
      </c>
      <c r="X52" s="223">
        <v>-1</v>
      </c>
      <c r="Y52" s="223">
        <v>-1</v>
      </c>
      <c r="Z52" s="223">
        <v>-3</v>
      </c>
      <c r="AA52" s="223">
        <v>-1</v>
      </c>
      <c r="AB52" s="223">
        <v>-3</v>
      </c>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185"/>
      <c r="BP52" s="185"/>
      <c r="BQ52" s="185"/>
      <c r="BR52" s="185"/>
      <c r="BS52" s="185"/>
    </row>
    <row r="53" spans="1:71" x14ac:dyDescent="0.2">
      <c r="A53" s="174" t="s">
        <v>936</v>
      </c>
      <c r="B53" s="174" t="s">
        <v>894</v>
      </c>
      <c r="C53" s="174">
        <v>9</v>
      </c>
      <c r="D53" s="204">
        <v>51.566997121842014</v>
      </c>
      <c r="E53" s="204">
        <v>1.3098017268947899</v>
      </c>
      <c r="G53" s="185">
        <v>19</v>
      </c>
      <c r="H53" s="223">
        <v>-2</v>
      </c>
      <c r="I53" s="223">
        <v>-3</v>
      </c>
      <c r="J53" s="223">
        <v>-1</v>
      </c>
      <c r="K53" s="223">
        <v>-3</v>
      </c>
      <c r="L53" s="223">
        <v>-3</v>
      </c>
      <c r="M53" s="223">
        <v>-3</v>
      </c>
      <c r="N53" s="223">
        <v>-3</v>
      </c>
      <c r="O53" s="223">
        <v>-3</v>
      </c>
      <c r="P53" s="223">
        <v>-3</v>
      </c>
      <c r="Q53" s="223">
        <v>-1</v>
      </c>
      <c r="R53" s="223">
        <v>-3</v>
      </c>
      <c r="S53" s="223">
        <v>-3</v>
      </c>
      <c r="T53" s="223">
        <v>-3</v>
      </c>
      <c r="U53" s="223">
        <v>-3</v>
      </c>
      <c r="V53" s="223">
        <v>-3</v>
      </c>
      <c r="W53" s="223">
        <v>-3</v>
      </c>
      <c r="X53" s="223">
        <v>-1</v>
      </c>
      <c r="Y53" s="223">
        <v>-1</v>
      </c>
      <c r="Z53" s="223">
        <v>-3</v>
      </c>
      <c r="AA53" s="223">
        <v>-1</v>
      </c>
      <c r="AB53" s="223">
        <v>-3</v>
      </c>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185"/>
      <c r="BP53" s="185"/>
      <c r="BQ53" s="185"/>
      <c r="BR53" s="185"/>
      <c r="BS53" s="185"/>
    </row>
    <row r="54" spans="1:71" x14ac:dyDescent="0.2">
      <c r="A54" s="174" t="s">
        <v>1024</v>
      </c>
      <c r="B54" s="174" t="s">
        <v>1025</v>
      </c>
      <c r="C54" s="174">
        <v>5</v>
      </c>
      <c r="D54" s="204">
        <v>41.049030786773088</v>
      </c>
      <c r="E54" s="204">
        <v>1.0426453819840447</v>
      </c>
      <c r="F54" s="205"/>
      <c r="G54" s="185">
        <v>20</v>
      </c>
      <c r="H54" s="223">
        <v>-2</v>
      </c>
      <c r="I54" s="223">
        <v>-3</v>
      </c>
      <c r="J54" s="223">
        <v>-1</v>
      </c>
      <c r="K54" s="223">
        <v>-2</v>
      </c>
      <c r="L54" s="223">
        <v>-2</v>
      </c>
      <c r="M54" s="223">
        <v>-2</v>
      </c>
      <c r="N54" s="223">
        <v>-2</v>
      </c>
      <c r="O54" s="223">
        <v>-2</v>
      </c>
      <c r="P54" s="223">
        <v>-3</v>
      </c>
      <c r="Q54" s="223">
        <v>-1</v>
      </c>
      <c r="R54" s="223">
        <v>-2</v>
      </c>
      <c r="S54" s="223">
        <v>-2</v>
      </c>
      <c r="T54" s="223">
        <v>-2</v>
      </c>
      <c r="U54" s="223">
        <v>-3</v>
      </c>
      <c r="V54" s="223">
        <v>-3</v>
      </c>
      <c r="W54" s="223">
        <v>-3</v>
      </c>
      <c r="X54" s="223">
        <v>-1</v>
      </c>
      <c r="Y54" s="223">
        <v>-1</v>
      </c>
      <c r="Z54" s="223">
        <v>-3</v>
      </c>
      <c r="AA54" s="223">
        <v>-1</v>
      </c>
      <c r="AB54" s="223">
        <v>-3</v>
      </c>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185"/>
      <c r="BP54" s="185"/>
      <c r="BQ54" s="185"/>
      <c r="BR54" s="185"/>
      <c r="BS54" s="185"/>
    </row>
    <row r="55" spans="1:71" x14ac:dyDescent="0.2">
      <c r="A55" s="174" t="s">
        <v>900</v>
      </c>
      <c r="B55" s="174" t="s">
        <v>950</v>
      </c>
      <c r="C55" s="174">
        <v>6</v>
      </c>
      <c r="D55" s="204">
        <v>48.071655527555592</v>
      </c>
      <c r="E55" s="204">
        <v>1.2210200503999147</v>
      </c>
      <c r="F55" s="205"/>
      <c r="G55" s="185">
        <v>21</v>
      </c>
      <c r="H55" s="223">
        <v>-1</v>
      </c>
      <c r="I55" s="223">
        <v>-2</v>
      </c>
      <c r="J55" s="223">
        <v>-1</v>
      </c>
      <c r="K55" s="223">
        <v>-2</v>
      </c>
      <c r="L55" s="223">
        <v>-2</v>
      </c>
      <c r="M55" s="223">
        <v>-2</v>
      </c>
      <c r="N55" s="223">
        <v>-2</v>
      </c>
      <c r="O55" s="223">
        <v>-2</v>
      </c>
      <c r="P55" s="223">
        <v>-3</v>
      </c>
      <c r="Q55" s="223">
        <v>0</v>
      </c>
      <c r="R55" s="223">
        <v>-2</v>
      </c>
      <c r="S55" s="223">
        <v>-2</v>
      </c>
      <c r="T55" s="223">
        <v>-2</v>
      </c>
      <c r="U55" s="223">
        <v>-2</v>
      </c>
      <c r="V55" s="223">
        <v>-2</v>
      </c>
      <c r="W55" s="223">
        <v>-2</v>
      </c>
      <c r="X55" s="223">
        <v>-1</v>
      </c>
      <c r="Y55" s="223">
        <v>-1</v>
      </c>
      <c r="Z55" s="223">
        <v>-3</v>
      </c>
      <c r="AA55" s="223">
        <v>0</v>
      </c>
      <c r="AB55" s="223">
        <v>-3</v>
      </c>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c r="BG55" s="223"/>
      <c r="BH55" s="223"/>
      <c r="BI55" s="223"/>
      <c r="BJ55" s="223"/>
      <c r="BK55" s="223"/>
      <c r="BL55" s="223"/>
      <c r="BM55" s="223"/>
      <c r="BN55" s="223"/>
      <c r="BO55" s="185"/>
      <c r="BP55" s="185"/>
      <c r="BQ55" s="185"/>
      <c r="BR55" s="185"/>
      <c r="BS55" s="185"/>
    </row>
    <row r="56" spans="1:71" x14ac:dyDescent="0.2">
      <c r="A56" s="174" t="s">
        <v>1034</v>
      </c>
      <c r="B56" s="174" t="s">
        <v>1035</v>
      </c>
      <c r="C56" s="174">
        <v>8</v>
      </c>
      <c r="D56" s="204">
        <v>35.955746773202208</v>
      </c>
      <c r="E56" s="204">
        <v>0.91327596803933642</v>
      </c>
      <c r="F56" s="205"/>
      <c r="G56" s="185">
        <v>22</v>
      </c>
      <c r="H56" s="223">
        <v>-1</v>
      </c>
      <c r="I56" s="223">
        <v>-2</v>
      </c>
      <c r="J56" s="223">
        <v>-1</v>
      </c>
      <c r="K56" s="223">
        <v>-2</v>
      </c>
      <c r="L56" s="223">
        <v>-2</v>
      </c>
      <c r="M56" s="223">
        <v>-2</v>
      </c>
      <c r="N56" s="223">
        <v>-2</v>
      </c>
      <c r="O56" s="223">
        <v>-2</v>
      </c>
      <c r="P56" s="223">
        <v>-3</v>
      </c>
      <c r="Q56" s="223">
        <v>0</v>
      </c>
      <c r="R56" s="223">
        <v>-2</v>
      </c>
      <c r="S56" s="223">
        <v>-2</v>
      </c>
      <c r="T56" s="223">
        <v>-2</v>
      </c>
      <c r="U56" s="223">
        <v>-2</v>
      </c>
      <c r="V56" s="223">
        <v>-2</v>
      </c>
      <c r="W56" s="223">
        <v>-2</v>
      </c>
      <c r="X56" s="223">
        <v>-1</v>
      </c>
      <c r="Y56" s="223">
        <v>-1</v>
      </c>
      <c r="Z56" s="223">
        <v>-3</v>
      </c>
      <c r="AA56" s="223">
        <v>0</v>
      </c>
      <c r="AB56" s="223">
        <v>-3</v>
      </c>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223"/>
      <c r="BD56" s="223"/>
      <c r="BE56" s="223"/>
      <c r="BF56" s="223"/>
      <c r="BG56" s="223"/>
      <c r="BH56" s="223"/>
      <c r="BI56" s="223"/>
      <c r="BJ56" s="223"/>
      <c r="BK56" s="223"/>
      <c r="BL56" s="223"/>
      <c r="BM56" s="223"/>
      <c r="BN56" s="223"/>
      <c r="BO56" s="185"/>
      <c r="BP56" s="185"/>
      <c r="BQ56" s="185"/>
      <c r="BR56" s="185"/>
      <c r="BS56" s="185"/>
    </row>
    <row r="57" spans="1:71" x14ac:dyDescent="0.2">
      <c r="A57" s="174" t="s">
        <v>916</v>
      </c>
      <c r="B57" s="174" t="s">
        <v>977</v>
      </c>
      <c r="C57" s="174">
        <v>16</v>
      </c>
      <c r="D57" s="204">
        <v>37.499999999999993</v>
      </c>
      <c r="E57" s="204">
        <v>0.95250000000000035</v>
      </c>
      <c r="F57" s="205"/>
      <c r="G57" s="185">
        <v>23</v>
      </c>
      <c r="H57" s="223">
        <v>-1</v>
      </c>
      <c r="I57" s="223">
        <v>-2</v>
      </c>
      <c r="J57" s="223">
        <v>-1</v>
      </c>
      <c r="K57" s="223">
        <v>-2</v>
      </c>
      <c r="L57" s="223">
        <v>-2</v>
      </c>
      <c r="M57" s="223">
        <v>-2</v>
      </c>
      <c r="N57" s="223">
        <v>-2</v>
      </c>
      <c r="O57" s="223">
        <v>-2</v>
      </c>
      <c r="P57" s="223">
        <v>-3</v>
      </c>
      <c r="Q57" s="223">
        <v>0</v>
      </c>
      <c r="R57" s="223">
        <v>-2</v>
      </c>
      <c r="S57" s="223">
        <v>-2</v>
      </c>
      <c r="T57" s="223">
        <v>-2</v>
      </c>
      <c r="U57" s="223">
        <v>-2</v>
      </c>
      <c r="V57" s="223">
        <v>-2</v>
      </c>
      <c r="W57" s="223">
        <v>-2</v>
      </c>
      <c r="X57" s="223">
        <v>-1</v>
      </c>
      <c r="Y57" s="223">
        <v>-1</v>
      </c>
      <c r="Z57" s="223">
        <v>-3</v>
      </c>
      <c r="AA57" s="223">
        <v>0</v>
      </c>
      <c r="AB57" s="223">
        <v>-3</v>
      </c>
      <c r="AC57" s="223"/>
      <c r="AD57" s="223"/>
      <c r="AE57" s="223"/>
      <c r="AF57" s="223"/>
      <c r="AG57" s="223"/>
      <c r="AH57" s="223"/>
      <c r="AI57" s="223"/>
      <c r="AJ57" s="223"/>
      <c r="AK57" s="223"/>
      <c r="AL57" s="223"/>
      <c r="AM57" s="223"/>
      <c r="AN57" s="223"/>
      <c r="AO57" s="223"/>
      <c r="AP57" s="223"/>
      <c r="AQ57" s="223"/>
      <c r="AR57" s="223"/>
      <c r="AS57" s="223"/>
      <c r="AT57" s="223"/>
      <c r="AU57" s="223"/>
      <c r="AV57" s="223"/>
      <c r="AW57" s="223"/>
      <c r="AX57" s="223"/>
      <c r="AY57" s="223"/>
      <c r="AZ57" s="223"/>
      <c r="BA57" s="223"/>
      <c r="BB57" s="223"/>
      <c r="BC57" s="223"/>
      <c r="BD57" s="223"/>
      <c r="BE57" s="223"/>
      <c r="BF57" s="223"/>
      <c r="BG57" s="223"/>
      <c r="BH57" s="223"/>
      <c r="BI57" s="223"/>
      <c r="BJ57" s="223"/>
      <c r="BK57" s="223"/>
      <c r="BL57" s="223"/>
      <c r="BM57" s="223"/>
      <c r="BN57" s="223"/>
      <c r="BO57" s="185"/>
      <c r="BP57" s="185"/>
      <c r="BQ57" s="185"/>
      <c r="BR57" s="185"/>
      <c r="BS57" s="185"/>
    </row>
    <row r="58" spans="1:71" x14ac:dyDescent="0.2">
      <c r="A58" s="174" t="s">
        <v>916</v>
      </c>
      <c r="B58" s="174" t="s">
        <v>976</v>
      </c>
      <c r="C58" s="174">
        <v>16</v>
      </c>
      <c r="D58" s="204">
        <v>37.499999999999993</v>
      </c>
      <c r="E58" s="204">
        <v>0.95250000000000035</v>
      </c>
      <c r="F58" s="205"/>
      <c r="G58" s="185">
        <v>24</v>
      </c>
      <c r="H58" s="223">
        <v>-1</v>
      </c>
      <c r="I58" s="223">
        <v>-2</v>
      </c>
      <c r="J58" s="223">
        <v>-1</v>
      </c>
      <c r="K58" s="223">
        <v>-2</v>
      </c>
      <c r="L58" s="223">
        <v>-2</v>
      </c>
      <c r="M58" s="223">
        <v>-2</v>
      </c>
      <c r="N58" s="223">
        <v>-2</v>
      </c>
      <c r="O58" s="223">
        <v>-2</v>
      </c>
      <c r="P58" s="223">
        <v>-3</v>
      </c>
      <c r="Q58" s="223">
        <v>0</v>
      </c>
      <c r="R58" s="223">
        <v>-2</v>
      </c>
      <c r="S58" s="223">
        <v>-2</v>
      </c>
      <c r="T58" s="223">
        <v>-2</v>
      </c>
      <c r="U58" s="223">
        <v>-2</v>
      </c>
      <c r="V58" s="223">
        <v>-2</v>
      </c>
      <c r="W58" s="223">
        <v>-2</v>
      </c>
      <c r="X58" s="223">
        <v>-1</v>
      </c>
      <c r="Y58" s="223">
        <v>-1</v>
      </c>
      <c r="Z58" s="223">
        <v>-3</v>
      </c>
      <c r="AA58" s="223">
        <v>0</v>
      </c>
      <c r="AB58" s="223">
        <v>-3</v>
      </c>
      <c r="AC58" s="223"/>
      <c r="AD58" s="223"/>
      <c r="AE58" s="223"/>
      <c r="AF58" s="223"/>
      <c r="AG58" s="223"/>
      <c r="AH58" s="223"/>
      <c r="AI58" s="223"/>
      <c r="AJ58" s="223"/>
      <c r="AK58" s="223"/>
      <c r="AL58" s="223"/>
      <c r="AM58" s="223"/>
      <c r="AN58" s="223"/>
      <c r="AO58" s="223"/>
      <c r="AP58" s="223"/>
      <c r="AQ58" s="223"/>
      <c r="AR58" s="223"/>
      <c r="AS58" s="223"/>
      <c r="AT58" s="223"/>
      <c r="AU58" s="223"/>
      <c r="AV58" s="223"/>
      <c r="AW58" s="223"/>
      <c r="AX58" s="223"/>
      <c r="AY58" s="223"/>
      <c r="AZ58" s="223"/>
      <c r="BA58" s="223"/>
      <c r="BB58" s="223"/>
      <c r="BC58" s="223"/>
      <c r="BD58" s="223"/>
      <c r="BE58" s="223"/>
      <c r="BF58" s="223"/>
      <c r="BG58" s="223"/>
      <c r="BH58" s="223"/>
      <c r="BI58" s="223"/>
      <c r="BJ58" s="223"/>
      <c r="BK58" s="223"/>
      <c r="BL58" s="223"/>
      <c r="BM58" s="223"/>
      <c r="BN58" s="223"/>
      <c r="BO58" s="185"/>
      <c r="BP58" s="185"/>
      <c r="BQ58" s="185"/>
      <c r="BR58" s="185"/>
      <c r="BS58" s="185"/>
    </row>
    <row r="59" spans="1:71" x14ac:dyDescent="0.2">
      <c r="A59" s="174" t="s">
        <v>936</v>
      </c>
      <c r="B59" s="174" t="s">
        <v>943</v>
      </c>
      <c r="C59" s="174">
        <v>9</v>
      </c>
      <c r="D59" s="204">
        <v>51.566997121842014</v>
      </c>
      <c r="E59" s="204">
        <v>1.3098017268947899</v>
      </c>
      <c r="F59" s="205"/>
      <c r="G59" s="185">
        <v>25</v>
      </c>
      <c r="H59" s="223">
        <v>-1</v>
      </c>
      <c r="I59" s="223">
        <v>-2</v>
      </c>
      <c r="J59" s="223">
        <v>-1</v>
      </c>
      <c r="K59" s="223">
        <v>-2</v>
      </c>
      <c r="L59" s="223">
        <v>-2</v>
      </c>
      <c r="M59" s="223">
        <v>-2</v>
      </c>
      <c r="N59" s="223">
        <v>-2</v>
      </c>
      <c r="O59" s="223">
        <v>-2</v>
      </c>
      <c r="P59" s="223">
        <v>-3</v>
      </c>
      <c r="Q59" s="223">
        <v>0</v>
      </c>
      <c r="R59" s="223">
        <v>-2</v>
      </c>
      <c r="S59" s="223">
        <v>-2</v>
      </c>
      <c r="T59" s="223">
        <v>-2</v>
      </c>
      <c r="U59" s="223">
        <v>-2</v>
      </c>
      <c r="V59" s="223">
        <v>-2</v>
      </c>
      <c r="W59" s="223">
        <v>-2</v>
      </c>
      <c r="X59" s="223">
        <v>-1</v>
      </c>
      <c r="Y59" s="223">
        <v>-1</v>
      </c>
      <c r="Z59" s="223">
        <v>-3</v>
      </c>
      <c r="AA59" s="223">
        <v>0</v>
      </c>
      <c r="AB59" s="223">
        <v>-3</v>
      </c>
      <c r="AC59" s="223"/>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3"/>
      <c r="AZ59" s="223"/>
      <c r="BA59" s="223"/>
      <c r="BB59" s="223"/>
      <c r="BC59" s="223"/>
      <c r="BD59" s="223"/>
      <c r="BE59" s="223"/>
      <c r="BF59" s="223"/>
      <c r="BG59" s="223"/>
      <c r="BH59" s="223"/>
      <c r="BI59" s="223"/>
      <c r="BJ59" s="223"/>
      <c r="BK59" s="223"/>
      <c r="BL59" s="223"/>
      <c r="BM59" s="223"/>
      <c r="BN59" s="223"/>
      <c r="BO59" s="185"/>
      <c r="BP59" s="185"/>
      <c r="BQ59" s="185"/>
      <c r="BR59" s="185"/>
      <c r="BS59" s="185"/>
    </row>
    <row r="60" spans="1:71" x14ac:dyDescent="0.2">
      <c r="A60" s="174" t="s">
        <v>1043</v>
      </c>
      <c r="B60" s="174" t="s">
        <v>938</v>
      </c>
      <c r="C60" s="174">
        <v>5</v>
      </c>
      <c r="D60" s="204">
        <v>41.049030786773088</v>
      </c>
      <c r="E60" s="204">
        <v>1.0426453819840447</v>
      </c>
      <c r="F60" s="205"/>
      <c r="G60" s="185">
        <v>26</v>
      </c>
      <c r="H60" s="223">
        <v>-1</v>
      </c>
      <c r="I60" s="223">
        <v>-2</v>
      </c>
      <c r="J60" s="223">
        <v>-1</v>
      </c>
      <c r="K60" s="223">
        <v>-2</v>
      </c>
      <c r="L60" s="223">
        <v>-2</v>
      </c>
      <c r="M60" s="223">
        <v>-2</v>
      </c>
      <c r="N60" s="223">
        <v>-2</v>
      </c>
      <c r="O60" s="223">
        <v>-2</v>
      </c>
      <c r="P60" s="223">
        <v>-2</v>
      </c>
      <c r="Q60" s="223">
        <v>0</v>
      </c>
      <c r="R60" s="223">
        <v>-2</v>
      </c>
      <c r="S60" s="223">
        <v>-2</v>
      </c>
      <c r="T60" s="223">
        <v>-2</v>
      </c>
      <c r="U60" s="223">
        <v>-2</v>
      </c>
      <c r="V60" s="223">
        <v>-2</v>
      </c>
      <c r="W60" s="223">
        <v>-2</v>
      </c>
      <c r="X60" s="223">
        <v>-1</v>
      </c>
      <c r="Y60" s="223">
        <v>-1</v>
      </c>
      <c r="Z60" s="223">
        <v>-2</v>
      </c>
      <c r="AA60" s="223">
        <v>0</v>
      </c>
      <c r="AB60" s="223">
        <v>-2</v>
      </c>
      <c r="AC60" s="223"/>
      <c r="AD60" s="223"/>
      <c r="AE60" s="223"/>
      <c r="AF60" s="223"/>
      <c r="AG60" s="223"/>
      <c r="AH60" s="223"/>
      <c r="AI60" s="223"/>
      <c r="AJ60" s="223"/>
      <c r="AK60" s="223"/>
      <c r="AL60" s="223"/>
      <c r="AM60" s="223"/>
      <c r="AN60" s="223"/>
      <c r="AO60" s="223"/>
      <c r="AP60" s="223"/>
      <c r="AQ60" s="223"/>
      <c r="AR60" s="223"/>
      <c r="AS60" s="223"/>
      <c r="AT60" s="223"/>
      <c r="AU60" s="223"/>
      <c r="AV60" s="223"/>
      <c r="AW60" s="223"/>
      <c r="AX60" s="223"/>
      <c r="AY60" s="223"/>
      <c r="AZ60" s="223"/>
      <c r="BA60" s="223"/>
      <c r="BB60" s="223"/>
      <c r="BC60" s="223"/>
      <c r="BD60" s="223"/>
      <c r="BE60" s="223"/>
      <c r="BF60" s="223"/>
      <c r="BG60" s="223"/>
      <c r="BH60" s="223"/>
      <c r="BI60" s="223"/>
      <c r="BJ60" s="223"/>
      <c r="BK60" s="223"/>
      <c r="BL60" s="223"/>
      <c r="BM60" s="223"/>
      <c r="BN60" s="223"/>
      <c r="BO60" s="185"/>
      <c r="BP60" s="185"/>
      <c r="BQ60" s="185"/>
      <c r="BR60" s="185"/>
      <c r="BS60" s="185"/>
    </row>
    <row r="61" spans="1:71" x14ac:dyDescent="0.2">
      <c r="A61" s="174" t="s">
        <v>895</v>
      </c>
      <c r="B61" s="174" t="s">
        <v>895</v>
      </c>
      <c r="C61" s="174">
        <v>2</v>
      </c>
      <c r="D61" s="204">
        <v>47.249055018899611</v>
      </c>
      <c r="E61" s="204">
        <v>1.2001259974800575</v>
      </c>
      <c r="F61" s="205"/>
      <c r="G61" s="185">
        <v>27</v>
      </c>
      <c r="H61" s="223">
        <v>-1</v>
      </c>
      <c r="I61" s="223">
        <v>-2</v>
      </c>
      <c r="J61" s="223">
        <v>-1</v>
      </c>
      <c r="K61" s="223">
        <v>-2</v>
      </c>
      <c r="L61" s="223">
        <v>-2</v>
      </c>
      <c r="M61" s="223">
        <v>-2</v>
      </c>
      <c r="N61" s="223">
        <v>-2</v>
      </c>
      <c r="O61" s="223">
        <v>-2</v>
      </c>
      <c r="P61" s="223">
        <v>-2</v>
      </c>
      <c r="Q61" s="223">
        <v>0</v>
      </c>
      <c r="R61" s="223">
        <v>-2</v>
      </c>
      <c r="S61" s="223">
        <v>-2</v>
      </c>
      <c r="T61" s="223">
        <v>-2</v>
      </c>
      <c r="U61" s="223">
        <v>-2</v>
      </c>
      <c r="V61" s="223">
        <v>-2</v>
      </c>
      <c r="W61" s="223">
        <v>-2</v>
      </c>
      <c r="X61" s="223">
        <v>-1</v>
      </c>
      <c r="Y61" s="223">
        <v>-1</v>
      </c>
      <c r="Z61" s="223">
        <v>-2</v>
      </c>
      <c r="AA61" s="223">
        <v>0</v>
      </c>
      <c r="AB61" s="223">
        <v>-2</v>
      </c>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3"/>
      <c r="BJ61" s="223"/>
      <c r="BK61" s="223"/>
      <c r="BL61" s="223"/>
      <c r="BM61" s="223"/>
      <c r="BN61" s="223"/>
      <c r="BO61" s="185"/>
      <c r="BP61" s="185"/>
      <c r="BQ61" s="185"/>
      <c r="BR61" s="185"/>
      <c r="BS61" s="185"/>
    </row>
    <row r="62" spans="1:71" x14ac:dyDescent="0.2">
      <c r="A62" s="174" t="s">
        <v>907</v>
      </c>
      <c r="B62" s="174" t="s">
        <v>969</v>
      </c>
      <c r="C62" s="174">
        <v>7</v>
      </c>
      <c r="D62" s="204">
        <v>36.764705882352935</v>
      </c>
      <c r="E62" s="204">
        <v>0.93382352941176805</v>
      </c>
      <c r="F62" s="205"/>
      <c r="G62" s="185">
        <v>28</v>
      </c>
      <c r="H62" s="223">
        <v>-1</v>
      </c>
      <c r="I62" s="223">
        <v>-2</v>
      </c>
      <c r="J62" s="223">
        <v>-1</v>
      </c>
      <c r="K62" s="223">
        <v>-2</v>
      </c>
      <c r="L62" s="223">
        <v>-2</v>
      </c>
      <c r="M62" s="223">
        <v>-2</v>
      </c>
      <c r="N62" s="223">
        <v>-2</v>
      </c>
      <c r="O62" s="223">
        <v>-2</v>
      </c>
      <c r="P62" s="223">
        <v>-2</v>
      </c>
      <c r="Q62" s="223">
        <v>0</v>
      </c>
      <c r="R62" s="223">
        <v>-2</v>
      </c>
      <c r="S62" s="223">
        <v>-2</v>
      </c>
      <c r="T62" s="223">
        <v>-2</v>
      </c>
      <c r="U62" s="223">
        <v>-2</v>
      </c>
      <c r="V62" s="223">
        <v>-2</v>
      </c>
      <c r="W62" s="223">
        <v>-2</v>
      </c>
      <c r="X62" s="223">
        <v>-1</v>
      </c>
      <c r="Y62" s="223">
        <v>-1</v>
      </c>
      <c r="Z62" s="223">
        <v>-2</v>
      </c>
      <c r="AA62" s="223">
        <v>0</v>
      </c>
      <c r="AB62" s="223">
        <v>-2</v>
      </c>
      <c r="AC62" s="223"/>
      <c r="AD62" s="223"/>
      <c r="AE62" s="223"/>
      <c r="AF62" s="223"/>
      <c r="AG62" s="223"/>
      <c r="AH62" s="223"/>
      <c r="AI62" s="223"/>
      <c r="AJ62" s="223"/>
      <c r="AK62" s="223"/>
      <c r="AL62" s="223"/>
      <c r="AM62" s="223"/>
      <c r="AN62" s="223"/>
      <c r="AO62" s="223"/>
      <c r="AP62" s="223"/>
      <c r="AQ62" s="223"/>
      <c r="AR62" s="223"/>
      <c r="AS62" s="223"/>
      <c r="AT62" s="223"/>
      <c r="AU62" s="223"/>
      <c r="AV62" s="223"/>
      <c r="AW62" s="223"/>
      <c r="AX62" s="223"/>
      <c r="AY62" s="223"/>
      <c r="AZ62" s="223"/>
      <c r="BA62" s="223"/>
      <c r="BB62" s="223"/>
      <c r="BC62" s="223"/>
      <c r="BD62" s="223"/>
      <c r="BE62" s="223"/>
      <c r="BF62" s="223"/>
      <c r="BG62" s="223"/>
      <c r="BH62" s="223"/>
      <c r="BI62" s="223"/>
      <c r="BJ62" s="223"/>
      <c r="BK62" s="223"/>
      <c r="BL62" s="223"/>
      <c r="BM62" s="223"/>
      <c r="BN62" s="223"/>
      <c r="BO62" s="185"/>
      <c r="BP62" s="185"/>
      <c r="BQ62" s="185"/>
      <c r="BR62" s="185"/>
      <c r="BS62" s="185"/>
    </row>
    <row r="63" spans="1:71" x14ac:dyDescent="0.2">
      <c r="A63" s="174" t="s">
        <v>900</v>
      </c>
      <c r="B63" s="174" t="s">
        <v>949</v>
      </c>
      <c r="C63" s="174">
        <v>6</v>
      </c>
      <c r="D63" s="204">
        <v>48.071655527555592</v>
      </c>
      <c r="E63" s="204">
        <v>1.2210200503999147</v>
      </c>
      <c r="F63" s="205"/>
      <c r="G63" s="185">
        <v>29</v>
      </c>
      <c r="H63" s="223">
        <v>-1</v>
      </c>
      <c r="I63" s="223">
        <v>-2</v>
      </c>
      <c r="J63" s="223">
        <v>-1</v>
      </c>
      <c r="K63" s="223">
        <v>-1</v>
      </c>
      <c r="L63" s="223">
        <v>-1</v>
      </c>
      <c r="M63" s="223">
        <v>-1</v>
      </c>
      <c r="N63" s="223">
        <v>-1</v>
      </c>
      <c r="O63" s="223">
        <v>-1</v>
      </c>
      <c r="P63" s="223">
        <v>-2</v>
      </c>
      <c r="Q63" s="223">
        <v>0</v>
      </c>
      <c r="R63" s="223">
        <v>-1</v>
      </c>
      <c r="S63" s="223">
        <v>-1</v>
      </c>
      <c r="T63" s="223">
        <v>-1</v>
      </c>
      <c r="U63" s="223">
        <v>-2</v>
      </c>
      <c r="V63" s="223">
        <v>-2</v>
      </c>
      <c r="W63" s="223">
        <v>-2</v>
      </c>
      <c r="X63" s="223">
        <v>-1</v>
      </c>
      <c r="Y63" s="223">
        <v>-1</v>
      </c>
      <c r="Z63" s="223">
        <v>-2</v>
      </c>
      <c r="AA63" s="223">
        <v>0</v>
      </c>
      <c r="AB63" s="223">
        <v>-2</v>
      </c>
      <c r="AC63" s="223"/>
      <c r="AD63" s="223"/>
      <c r="AE63" s="223"/>
      <c r="AF63" s="223"/>
      <c r="AG63" s="223"/>
      <c r="AH63" s="223"/>
      <c r="AI63" s="223"/>
      <c r="AJ63" s="223"/>
      <c r="AK63" s="223"/>
      <c r="AL63" s="223"/>
      <c r="AM63" s="223"/>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185"/>
      <c r="BP63" s="185"/>
      <c r="BQ63" s="185"/>
      <c r="BR63" s="185"/>
      <c r="BS63" s="185"/>
    </row>
    <row r="64" spans="1:71" x14ac:dyDescent="0.2">
      <c r="A64" s="174" t="s">
        <v>900</v>
      </c>
      <c r="B64" s="174" t="s">
        <v>957</v>
      </c>
      <c r="C64" s="174">
        <v>6</v>
      </c>
      <c r="D64" s="204">
        <v>48.071655527555592</v>
      </c>
      <c r="E64" s="204">
        <v>1.2210200503999147</v>
      </c>
      <c r="F64" s="205"/>
      <c r="G64" s="185">
        <v>30</v>
      </c>
      <c r="H64" s="223">
        <v>-1</v>
      </c>
      <c r="I64" s="223">
        <v>-2</v>
      </c>
      <c r="J64" s="223">
        <v>-1</v>
      </c>
      <c r="K64" s="223">
        <v>-1</v>
      </c>
      <c r="L64" s="223">
        <v>-1</v>
      </c>
      <c r="M64" s="223">
        <v>-1</v>
      </c>
      <c r="N64" s="223">
        <v>-1</v>
      </c>
      <c r="O64" s="223">
        <v>-1</v>
      </c>
      <c r="P64" s="223">
        <v>-2</v>
      </c>
      <c r="Q64" s="223">
        <v>0</v>
      </c>
      <c r="R64" s="223">
        <v>-1</v>
      </c>
      <c r="S64" s="223">
        <v>-1</v>
      </c>
      <c r="T64" s="223">
        <v>-1</v>
      </c>
      <c r="U64" s="223">
        <v>-2</v>
      </c>
      <c r="V64" s="223">
        <v>-2</v>
      </c>
      <c r="W64" s="223">
        <v>-2</v>
      </c>
      <c r="X64" s="223">
        <v>-1</v>
      </c>
      <c r="Y64" s="223">
        <v>-1</v>
      </c>
      <c r="Z64" s="223">
        <v>-2</v>
      </c>
      <c r="AA64" s="223">
        <v>0</v>
      </c>
      <c r="AB64" s="223">
        <v>-2</v>
      </c>
      <c r="AC64" s="223"/>
      <c r="AD64" s="223"/>
      <c r="AE64" s="223"/>
      <c r="AF64" s="223"/>
      <c r="AG64" s="223"/>
      <c r="AH64" s="223"/>
      <c r="AI64" s="223"/>
      <c r="AJ64" s="223"/>
      <c r="AK64" s="223"/>
      <c r="AL64" s="223"/>
      <c r="AM64" s="223"/>
      <c r="AN64" s="223"/>
      <c r="AO64" s="223"/>
      <c r="AP64" s="223"/>
      <c r="AQ64" s="223"/>
      <c r="AR64" s="223"/>
      <c r="AS64" s="223"/>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185"/>
      <c r="BP64" s="185"/>
      <c r="BQ64" s="185"/>
      <c r="BR64" s="185"/>
      <c r="BS64" s="185"/>
    </row>
    <row r="65" spans="1:71" x14ac:dyDescent="0.2">
      <c r="A65" s="174" t="s">
        <v>1049</v>
      </c>
      <c r="B65" s="174" t="s">
        <v>962</v>
      </c>
      <c r="C65" s="174">
        <v>19</v>
      </c>
      <c r="D65" s="204">
        <v>25.917065390749599</v>
      </c>
      <c r="E65" s="204">
        <v>0.65829346092504082</v>
      </c>
      <c r="F65" s="205"/>
      <c r="G65" s="185">
        <v>31</v>
      </c>
      <c r="H65" s="223">
        <v>-1</v>
      </c>
      <c r="I65" s="223">
        <v>-2</v>
      </c>
      <c r="J65" s="223">
        <v>0</v>
      </c>
      <c r="K65" s="223">
        <v>-1</v>
      </c>
      <c r="L65" s="223">
        <v>-1</v>
      </c>
      <c r="M65" s="223">
        <v>-1</v>
      </c>
      <c r="N65" s="223">
        <v>-1</v>
      </c>
      <c r="O65" s="223">
        <v>-1</v>
      </c>
      <c r="P65" s="223">
        <v>-2</v>
      </c>
      <c r="Q65" s="223">
        <v>0</v>
      </c>
      <c r="R65" s="223">
        <v>-1</v>
      </c>
      <c r="S65" s="223">
        <v>-1</v>
      </c>
      <c r="T65" s="223">
        <v>-1</v>
      </c>
      <c r="U65" s="223">
        <v>-2</v>
      </c>
      <c r="V65" s="223">
        <v>-2</v>
      </c>
      <c r="W65" s="223">
        <v>-2</v>
      </c>
      <c r="X65" s="223">
        <v>0</v>
      </c>
      <c r="Y65" s="223">
        <v>0</v>
      </c>
      <c r="Z65" s="223">
        <v>-2</v>
      </c>
      <c r="AA65" s="223">
        <v>0</v>
      </c>
      <c r="AB65" s="223">
        <v>-2</v>
      </c>
      <c r="AC65" s="223"/>
      <c r="AD65" s="223"/>
      <c r="AE65" s="223"/>
      <c r="AF65" s="223"/>
      <c r="AG65" s="223"/>
      <c r="AH65" s="223"/>
      <c r="AI65" s="223"/>
      <c r="AJ65" s="223"/>
      <c r="AK65" s="223"/>
      <c r="AL65" s="223"/>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223"/>
      <c r="BJ65" s="223"/>
      <c r="BK65" s="223"/>
      <c r="BL65" s="223"/>
      <c r="BM65" s="223"/>
      <c r="BN65" s="223"/>
      <c r="BO65" s="185"/>
      <c r="BP65" s="185"/>
      <c r="BQ65" s="185"/>
      <c r="BR65" s="185"/>
      <c r="BS65" s="185"/>
    </row>
    <row r="66" spans="1:71" x14ac:dyDescent="0.2">
      <c r="A66" s="174" t="s">
        <v>907</v>
      </c>
      <c r="B66" s="174" t="s">
        <v>971</v>
      </c>
      <c r="C66" s="174">
        <v>7</v>
      </c>
      <c r="D66" s="204">
        <v>36.764705882352935</v>
      </c>
      <c r="E66" s="204">
        <v>0.93382352941176805</v>
      </c>
      <c r="G66" s="185">
        <v>32</v>
      </c>
      <c r="H66" s="223">
        <v>-1</v>
      </c>
      <c r="I66" s="223">
        <v>-1</v>
      </c>
      <c r="J66" s="223">
        <v>0</v>
      </c>
      <c r="K66" s="223">
        <v>-1</v>
      </c>
      <c r="L66" s="223">
        <v>-1</v>
      </c>
      <c r="M66" s="223">
        <v>-1</v>
      </c>
      <c r="N66" s="223">
        <v>-1</v>
      </c>
      <c r="O66" s="223">
        <v>-1</v>
      </c>
      <c r="P66" s="223">
        <v>-2</v>
      </c>
      <c r="Q66" s="223">
        <v>0</v>
      </c>
      <c r="R66" s="223">
        <v>-1</v>
      </c>
      <c r="S66" s="223">
        <v>-1</v>
      </c>
      <c r="T66" s="223">
        <v>-1</v>
      </c>
      <c r="U66" s="223">
        <v>-1</v>
      </c>
      <c r="V66" s="223">
        <v>-1</v>
      </c>
      <c r="W66" s="223">
        <v>-1</v>
      </c>
      <c r="X66" s="223">
        <v>0</v>
      </c>
      <c r="Y66" s="223">
        <v>0</v>
      </c>
      <c r="Z66" s="223">
        <v>-2</v>
      </c>
      <c r="AA66" s="223">
        <v>0</v>
      </c>
      <c r="AB66" s="223">
        <v>-2</v>
      </c>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3"/>
      <c r="AZ66" s="223"/>
      <c r="BA66" s="223"/>
      <c r="BB66" s="223"/>
      <c r="BC66" s="223"/>
      <c r="BD66" s="223"/>
      <c r="BE66" s="223"/>
      <c r="BF66" s="223"/>
      <c r="BG66" s="223"/>
      <c r="BH66" s="223"/>
      <c r="BI66" s="223"/>
      <c r="BJ66" s="223"/>
      <c r="BK66" s="223"/>
      <c r="BL66" s="223"/>
      <c r="BM66" s="223"/>
      <c r="BN66" s="223"/>
      <c r="BO66" s="185"/>
      <c r="BP66" s="185"/>
      <c r="BQ66" s="185"/>
      <c r="BR66" s="185"/>
      <c r="BS66" s="185"/>
    </row>
    <row r="67" spans="1:71" x14ac:dyDescent="0.2">
      <c r="A67" s="174" t="s">
        <v>936</v>
      </c>
      <c r="B67" s="174" t="s">
        <v>1052</v>
      </c>
      <c r="C67" s="174">
        <v>9</v>
      </c>
      <c r="D67" s="204">
        <v>51.566997121842014</v>
      </c>
      <c r="E67" s="204">
        <v>1.3098017268947899</v>
      </c>
      <c r="G67" s="185">
        <v>33</v>
      </c>
      <c r="H67" s="223">
        <v>-1</v>
      </c>
      <c r="I67" s="223">
        <v>-1</v>
      </c>
      <c r="J67" s="223">
        <v>0</v>
      </c>
      <c r="K67" s="223">
        <v>-1</v>
      </c>
      <c r="L67" s="223">
        <v>-1</v>
      </c>
      <c r="M67" s="223">
        <v>-1</v>
      </c>
      <c r="N67" s="223">
        <v>-1</v>
      </c>
      <c r="O67" s="223">
        <v>-1</v>
      </c>
      <c r="P67" s="223">
        <v>-2</v>
      </c>
      <c r="Q67" s="223">
        <v>0</v>
      </c>
      <c r="R67" s="223">
        <v>-1</v>
      </c>
      <c r="S67" s="223">
        <v>-1</v>
      </c>
      <c r="T67" s="223">
        <v>-1</v>
      </c>
      <c r="U67" s="223">
        <v>-1</v>
      </c>
      <c r="V67" s="223">
        <v>-1</v>
      </c>
      <c r="W67" s="223">
        <v>-1</v>
      </c>
      <c r="X67" s="223">
        <v>0</v>
      </c>
      <c r="Y67" s="223">
        <v>0</v>
      </c>
      <c r="Z67" s="223">
        <v>-2</v>
      </c>
      <c r="AA67" s="223">
        <v>0</v>
      </c>
      <c r="AB67" s="223">
        <v>-2</v>
      </c>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c r="BA67" s="223"/>
      <c r="BB67" s="223"/>
      <c r="BC67" s="223"/>
      <c r="BD67" s="223"/>
      <c r="BE67" s="223"/>
      <c r="BF67" s="223"/>
      <c r="BG67" s="223"/>
      <c r="BH67" s="223"/>
      <c r="BI67" s="223"/>
      <c r="BJ67" s="223"/>
      <c r="BK67" s="223"/>
      <c r="BL67" s="223"/>
      <c r="BM67" s="223"/>
      <c r="BN67" s="223"/>
      <c r="BO67" s="185"/>
      <c r="BP67" s="185"/>
      <c r="BQ67" s="185"/>
      <c r="BR67" s="185"/>
      <c r="BS67" s="185"/>
    </row>
    <row r="68" spans="1:71" x14ac:dyDescent="0.2">
      <c r="A68" s="174" t="s">
        <v>900</v>
      </c>
      <c r="B68" s="174" t="s">
        <v>952</v>
      </c>
      <c r="C68" s="174">
        <v>6</v>
      </c>
      <c r="D68" s="204">
        <v>48.071655527555592</v>
      </c>
      <c r="E68" s="204">
        <v>1.2210200503999147</v>
      </c>
      <c r="G68" s="185">
        <v>34</v>
      </c>
      <c r="H68" s="223">
        <v>-1</v>
      </c>
      <c r="I68" s="223">
        <v>-1</v>
      </c>
      <c r="J68" s="223">
        <v>0</v>
      </c>
      <c r="K68" s="223">
        <v>-1</v>
      </c>
      <c r="L68" s="223">
        <v>-1</v>
      </c>
      <c r="M68" s="223">
        <v>-1</v>
      </c>
      <c r="N68" s="223">
        <v>-1</v>
      </c>
      <c r="O68" s="223">
        <v>-1</v>
      </c>
      <c r="P68" s="223">
        <v>-2</v>
      </c>
      <c r="Q68" s="223">
        <v>0</v>
      </c>
      <c r="R68" s="223">
        <v>-1</v>
      </c>
      <c r="S68" s="223">
        <v>-1</v>
      </c>
      <c r="T68" s="223">
        <v>-1</v>
      </c>
      <c r="U68" s="223">
        <v>-1</v>
      </c>
      <c r="V68" s="223">
        <v>-1</v>
      </c>
      <c r="W68" s="223">
        <v>-1</v>
      </c>
      <c r="X68" s="223">
        <v>0</v>
      </c>
      <c r="Y68" s="223">
        <v>0</v>
      </c>
      <c r="Z68" s="223">
        <v>-2</v>
      </c>
      <c r="AA68" s="223">
        <v>0</v>
      </c>
      <c r="AB68" s="223">
        <v>-2</v>
      </c>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3"/>
      <c r="AZ68" s="223"/>
      <c r="BA68" s="223"/>
      <c r="BB68" s="223"/>
      <c r="BC68" s="223"/>
      <c r="BD68" s="223"/>
      <c r="BE68" s="223"/>
      <c r="BF68" s="223"/>
      <c r="BG68" s="223"/>
      <c r="BH68" s="223"/>
      <c r="BI68" s="223"/>
      <c r="BJ68" s="223"/>
      <c r="BK68" s="223"/>
      <c r="BL68" s="223"/>
      <c r="BM68" s="223"/>
      <c r="BN68" s="223"/>
      <c r="BO68" s="185"/>
      <c r="BP68" s="185"/>
      <c r="BQ68" s="185"/>
      <c r="BR68" s="185"/>
      <c r="BS68" s="185"/>
    </row>
    <row r="69" spans="1:71" x14ac:dyDescent="0.2">
      <c r="A69" s="174" t="s">
        <v>1054</v>
      </c>
      <c r="B69" s="174" t="s">
        <v>899</v>
      </c>
      <c r="C69" s="174">
        <v>17</v>
      </c>
      <c r="D69" s="204">
        <v>45.570834665813869</v>
      </c>
      <c r="E69" s="204">
        <v>1.1574992005116655</v>
      </c>
      <c r="G69" s="185">
        <v>35</v>
      </c>
      <c r="H69" s="223">
        <v>-1</v>
      </c>
      <c r="I69" s="223">
        <v>-1</v>
      </c>
      <c r="J69" s="223">
        <v>0</v>
      </c>
      <c r="K69" s="223">
        <v>-1</v>
      </c>
      <c r="L69" s="223">
        <v>-1</v>
      </c>
      <c r="M69" s="223">
        <v>-1</v>
      </c>
      <c r="N69" s="223">
        <v>-1</v>
      </c>
      <c r="O69" s="223">
        <v>-1</v>
      </c>
      <c r="P69" s="223">
        <v>-2</v>
      </c>
      <c r="Q69" s="223">
        <v>0</v>
      </c>
      <c r="R69" s="223">
        <v>-1</v>
      </c>
      <c r="S69" s="223">
        <v>-1</v>
      </c>
      <c r="T69" s="223">
        <v>-1</v>
      </c>
      <c r="U69" s="223">
        <v>-1</v>
      </c>
      <c r="V69" s="223">
        <v>-1</v>
      </c>
      <c r="W69" s="223">
        <v>-1</v>
      </c>
      <c r="X69" s="223">
        <v>0</v>
      </c>
      <c r="Y69" s="223">
        <v>0</v>
      </c>
      <c r="Z69" s="223">
        <v>-2</v>
      </c>
      <c r="AA69" s="223">
        <v>0</v>
      </c>
      <c r="AB69" s="223">
        <v>-2</v>
      </c>
      <c r="AC69" s="223"/>
      <c r="AD69" s="223"/>
      <c r="AE69" s="223"/>
      <c r="AF69" s="223"/>
      <c r="AG69" s="223"/>
      <c r="AH69" s="223"/>
      <c r="AI69" s="223"/>
      <c r="AJ69" s="223"/>
      <c r="AK69" s="223"/>
      <c r="AL69" s="223"/>
      <c r="AM69" s="223"/>
      <c r="AN69" s="223"/>
      <c r="AO69" s="223"/>
      <c r="AP69" s="223"/>
      <c r="AQ69" s="223"/>
      <c r="AR69" s="223"/>
      <c r="AS69" s="223"/>
      <c r="AT69" s="223"/>
      <c r="AU69" s="223"/>
      <c r="AV69" s="223"/>
      <c r="AW69" s="223"/>
      <c r="AX69" s="223"/>
      <c r="AY69" s="223"/>
      <c r="AZ69" s="223"/>
      <c r="BA69" s="223"/>
      <c r="BB69" s="223"/>
      <c r="BC69" s="223"/>
      <c r="BD69" s="223"/>
      <c r="BE69" s="223"/>
      <c r="BF69" s="223"/>
      <c r="BG69" s="223"/>
      <c r="BH69" s="223"/>
      <c r="BI69" s="223"/>
      <c r="BJ69" s="223"/>
      <c r="BK69" s="223"/>
      <c r="BL69" s="223"/>
      <c r="BM69" s="223"/>
      <c r="BN69" s="223"/>
      <c r="BO69" s="185"/>
      <c r="BP69" s="185"/>
      <c r="BQ69" s="185"/>
      <c r="BR69" s="185"/>
      <c r="BS69" s="185"/>
    </row>
    <row r="70" spans="1:71" x14ac:dyDescent="0.2">
      <c r="A70" s="174" t="s">
        <v>1057</v>
      </c>
      <c r="B70" s="174" t="s">
        <v>1058</v>
      </c>
      <c r="C70" s="174">
        <v>22</v>
      </c>
      <c r="D70" s="204">
        <v>39.631282292155937</v>
      </c>
      <c r="E70" s="204">
        <v>1.0066345702207684</v>
      </c>
      <c r="G70" s="185">
        <v>36</v>
      </c>
      <c r="H70" s="223">
        <v>-1</v>
      </c>
      <c r="I70" s="223">
        <v>-1</v>
      </c>
      <c r="J70" s="223">
        <v>0</v>
      </c>
      <c r="K70" s="223">
        <v>-1</v>
      </c>
      <c r="L70" s="223">
        <v>-1</v>
      </c>
      <c r="M70" s="223">
        <v>-1</v>
      </c>
      <c r="N70" s="223">
        <v>-1</v>
      </c>
      <c r="O70" s="223">
        <v>-1</v>
      </c>
      <c r="P70" s="223">
        <v>-1</v>
      </c>
      <c r="Q70" s="223">
        <v>0</v>
      </c>
      <c r="R70" s="223">
        <v>-1</v>
      </c>
      <c r="S70" s="223">
        <v>-1</v>
      </c>
      <c r="T70" s="223">
        <v>-1</v>
      </c>
      <c r="U70" s="223">
        <v>-1</v>
      </c>
      <c r="V70" s="223">
        <v>-1</v>
      </c>
      <c r="W70" s="223">
        <v>-1</v>
      </c>
      <c r="X70" s="223">
        <v>0</v>
      </c>
      <c r="Y70" s="223">
        <v>0</v>
      </c>
      <c r="Z70" s="223">
        <v>-1</v>
      </c>
      <c r="AA70" s="223">
        <v>0</v>
      </c>
      <c r="AB70" s="223">
        <v>-1</v>
      </c>
      <c r="AC70" s="223"/>
      <c r="AD70" s="223"/>
      <c r="AE70" s="223"/>
      <c r="AF70" s="223"/>
      <c r="AG70" s="223"/>
      <c r="AH70" s="223"/>
      <c r="AI70" s="223"/>
      <c r="AJ70" s="223"/>
      <c r="AK70" s="223"/>
      <c r="AL70" s="223"/>
      <c r="AM70" s="223"/>
      <c r="AN70" s="223"/>
      <c r="AO70" s="223"/>
      <c r="AP70" s="223"/>
      <c r="AQ70" s="223"/>
      <c r="AR70" s="223"/>
      <c r="AS70" s="223"/>
      <c r="AT70" s="223"/>
      <c r="AU70" s="223"/>
      <c r="AV70" s="223"/>
      <c r="AW70" s="223"/>
      <c r="AX70" s="223"/>
      <c r="AY70" s="223"/>
      <c r="AZ70" s="223"/>
      <c r="BA70" s="223"/>
      <c r="BB70" s="223"/>
      <c r="BC70" s="223"/>
      <c r="BD70" s="223"/>
      <c r="BE70" s="223"/>
      <c r="BF70" s="223"/>
      <c r="BG70" s="223"/>
      <c r="BH70" s="223"/>
      <c r="BI70" s="223"/>
      <c r="BJ70" s="223"/>
      <c r="BK70" s="223"/>
      <c r="BL70" s="223"/>
      <c r="BM70" s="223"/>
      <c r="BN70" s="223"/>
      <c r="BO70" s="185"/>
      <c r="BP70" s="185"/>
      <c r="BQ70" s="185"/>
      <c r="BR70" s="185"/>
      <c r="BS70" s="185"/>
    </row>
    <row r="71" spans="1:71" x14ac:dyDescent="0.2">
      <c r="A71" s="174" t="s">
        <v>1059</v>
      </c>
      <c r="B71" s="174" t="s">
        <v>980</v>
      </c>
      <c r="C71" s="174">
        <v>21</v>
      </c>
      <c r="D71" s="204">
        <v>61.400207019855074</v>
      </c>
      <c r="E71" s="204">
        <v>1.5595652583043034</v>
      </c>
      <c r="G71" s="185">
        <v>37</v>
      </c>
      <c r="H71" s="223">
        <v>-1</v>
      </c>
      <c r="I71" s="223">
        <v>-1</v>
      </c>
      <c r="J71" s="223">
        <v>0</v>
      </c>
      <c r="K71" s="223">
        <v>-1</v>
      </c>
      <c r="L71" s="223">
        <v>-1</v>
      </c>
      <c r="M71" s="223">
        <v>-1</v>
      </c>
      <c r="N71" s="223">
        <v>-1</v>
      </c>
      <c r="O71" s="223">
        <v>-1</v>
      </c>
      <c r="P71" s="223">
        <v>-1</v>
      </c>
      <c r="Q71" s="223">
        <v>0</v>
      </c>
      <c r="R71" s="223">
        <v>-1</v>
      </c>
      <c r="S71" s="223">
        <v>-1</v>
      </c>
      <c r="T71" s="223">
        <v>-1</v>
      </c>
      <c r="U71" s="223">
        <v>-1</v>
      </c>
      <c r="V71" s="223">
        <v>-1</v>
      </c>
      <c r="W71" s="223">
        <v>-1</v>
      </c>
      <c r="X71" s="223">
        <v>0</v>
      </c>
      <c r="Y71" s="223">
        <v>0</v>
      </c>
      <c r="Z71" s="223">
        <v>-1</v>
      </c>
      <c r="AA71" s="223">
        <v>0</v>
      </c>
      <c r="AB71" s="223">
        <v>-1</v>
      </c>
      <c r="AC71" s="223"/>
      <c r="AD71" s="223"/>
      <c r="AE71" s="223"/>
      <c r="AF71" s="223"/>
      <c r="AG71" s="223"/>
      <c r="AH71" s="223"/>
      <c r="AI71" s="223"/>
      <c r="AJ71" s="223"/>
      <c r="AK71" s="223"/>
      <c r="AL71" s="223"/>
      <c r="AM71" s="223"/>
      <c r="AN71" s="223"/>
      <c r="AO71" s="223"/>
      <c r="AP71" s="223"/>
      <c r="AQ71" s="223"/>
      <c r="AR71" s="223"/>
      <c r="AS71" s="223"/>
      <c r="AT71" s="223"/>
      <c r="AU71" s="223"/>
      <c r="AV71" s="223"/>
      <c r="AW71" s="223"/>
      <c r="AX71" s="223"/>
      <c r="AY71" s="223"/>
      <c r="AZ71" s="223"/>
      <c r="BA71" s="223"/>
      <c r="BB71" s="223"/>
      <c r="BC71" s="223"/>
      <c r="BD71" s="223"/>
      <c r="BE71" s="223"/>
      <c r="BF71" s="223"/>
      <c r="BG71" s="223"/>
      <c r="BH71" s="223"/>
      <c r="BI71" s="223"/>
      <c r="BJ71" s="223"/>
      <c r="BK71" s="223"/>
      <c r="BL71" s="223"/>
      <c r="BM71" s="223"/>
      <c r="BN71" s="223"/>
      <c r="BO71" s="185"/>
      <c r="BP71" s="185"/>
      <c r="BQ71" s="185"/>
      <c r="BR71" s="185"/>
      <c r="BS71" s="185"/>
    </row>
    <row r="72" spans="1:71" x14ac:dyDescent="0.2">
      <c r="A72" s="174" t="s">
        <v>1024</v>
      </c>
      <c r="B72" s="174" t="s">
        <v>958</v>
      </c>
      <c r="C72" s="174">
        <v>5</v>
      </c>
      <c r="D72" s="204">
        <v>41.049030786773088</v>
      </c>
      <c r="E72" s="204">
        <v>1.0426453819840447</v>
      </c>
      <c r="G72" s="185">
        <v>38</v>
      </c>
      <c r="H72" s="223">
        <v>-1</v>
      </c>
      <c r="I72" s="223">
        <v>-1</v>
      </c>
      <c r="J72" s="223">
        <v>0</v>
      </c>
      <c r="K72" s="223">
        <v>-1</v>
      </c>
      <c r="L72" s="223">
        <v>-1</v>
      </c>
      <c r="M72" s="223">
        <v>-1</v>
      </c>
      <c r="N72" s="223">
        <v>-1</v>
      </c>
      <c r="O72" s="223">
        <v>-1</v>
      </c>
      <c r="P72" s="223">
        <v>-1</v>
      </c>
      <c r="Q72" s="223">
        <v>0</v>
      </c>
      <c r="R72" s="223">
        <v>-1</v>
      </c>
      <c r="S72" s="223">
        <v>-1</v>
      </c>
      <c r="T72" s="223">
        <v>-1</v>
      </c>
      <c r="U72" s="223">
        <v>-1</v>
      </c>
      <c r="V72" s="223">
        <v>-1</v>
      </c>
      <c r="W72" s="223">
        <v>-1</v>
      </c>
      <c r="X72" s="223">
        <v>0</v>
      </c>
      <c r="Y72" s="223">
        <v>0</v>
      </c>
      <c r="Z72" s="223">
        <v>-1</v>
      </c>
      <c r="AA72" s="223">
        <v>0</v>
      </c>
      <c r="AB72" s="223">
        <v>-1</v>
      </c>
      <c r="AC72" s="223"/>
      <c r="AD72" s="223"/>
      <c r="AE72" s="223"/>
      <c r="AF72" s="223"/>
      <c r="AG72" s="223"/>
      <c r="AH72" s="223"/>
      <c r="AI72" s="223"/>
      <c r="AJ72" s="223"/>
      <c r="AK72" s="223"/>
      <c r="AL72" s="223"/>
      <c r="AM72" s="223"/>
      <c r="AN72" s="223"/>
      <c r="AO72" s="223"/>
      <c r="AP72" s="223"/>
      <c r="AQ72" s="223"/>
      <c r="AR72" s="223"/>
      <c r="AS72" s="223"/>
      <c r="AT72" s="223"/>
      <c r="AU72" s="223"/>
      <c r="AV72" s="223"/>
      <c r="AW72" s="223"/>
      <c r="AX72" s="223"/>
      <c r="AY72" s="223"/>
      <c r="AZ72" s="223"/>
      <c r="BA72" s="223"/>
      <c r="BB72" s="223"/>
      <c r="BC72" s="223"/>
      <c r="BD72" s="223"/>
      <c r="BE72" s="223"/>
      <c r="BF72" s="223"/>
      <c r="BG72" s="223"/>
      <c r="BH72" s="223"/>
      <c r="BI72" s="223"/>
      <c r="BJ72" s="223"/>
      <c r="BK72" s="223"/>
      <c r="BL72" s="223"/>
      <c r="BM72" s="223"/>
      <c r="BN72" s="223"/>
      <c r="BO72" s="185"/>
      <c r="BP72" s="185"/>
      <c r="BQ72" s="185"/>
      <c r="BR72" s="185"/>
      <c r="BS72" s="185"/>
    </row>
    <row r="73" spans="1:71" x14ac:dyDescent="0.2">
      <c r="A73" s="174" t="s">
        <v>1034</v>
      </c>
      <c r="B73" s="174" t="s">
        <v>959</v>
      </c>
      <c r="C73" s="174">
        <v>6</v>
      </c>
      <c r="D73" s="204">
        <v>48.071655527555592</v>
      </c>
      <c r="E73" s="204">
        <v>1.2210200503999147</v>
      </c>
      <c r="G73" s="185">
        <v>39</v>
      </c>
      <c r="H73" s="223">
        <v>-1</v>
      </c>
      <c r="I73" s="223">
        <v>-1</v>
      </c>
      <c r="J73" s="223">
        <v>0</v>
      </c>
      <c r="K73" s="223">
        <v>-1</v>
      </c>
      <c r="L73" s="223">
        <v>-1</v>
      </c>
      <c r="M73" s="223">
        <v>-1</v>
      </c>
      <c r="N73" s="223">
        <v>-1</v>
      </c>
      <c r="O73" s="223">
        <v>-1</v>
      </c>
      <c r="P73" s="223">
        <v>-1</v>
      </c>
      <c r="Q73" s="223">
        <v>0</v>
      </c>
      <c r="R73" s="223">
        <v>-1</v>
      </c>
      <c r="S73" s="223">
        <v>-1</v>
      </c>
      <c r="T73" s="223">
        <v>-1</v>
      </c>
      <c r="U73" s="223">
        <v>-1</v>
      </c>
      <c r="V73" s="223">
        <v>-1</v>
      </c>
      <c r="W73" s="223">
        <v>-1</v>
      </c>
      <c r="X73" s="223">
        <v>0</v>
      </c>
      <c r="Y73" s="223">
        <v>0</v>
      </c>
      <c r="Z73" s="223">
        <v>-1</v>
      </c>
      <c r="AA73" s="223">
        <v>0</v>
      </c>
      <c r="AB73" s="223">
        <v>-1</v>
      </c>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c r="BI73" s="223"/>
      <c r="BJ73" s="223"/>
      <c r="BK73" s="223"/>
      <c r="BL73" s="223"/>
      <c r="BM73" s="223"/>
      <c r="BN73" s="223"/>
      <c r="BO73" s="185"/>
      <c r="BP73" s="185"/>
      <c r="BQ73" s="185"/>
      <c r="BR73" s="185"/>
      <c r="BS73" s="185"/>
    </row>
    <row r="74" spans="1:71" x14ac:dyDescent="0.2">
      <c r="A74" s="174" t="s">
        <v>1049</v>
      </c>
      <c r="B74" s="174" t="s">
        <v>960</v>
      </c>
      <c r="C74" s="174">
        <v>4</v>
      </c>
      <c r="D74" s="204">
        <v>23.661148977604672</v>
      </c>
      <c r="E74" s="204">
        <v>0.60099318403116098</v>
      </c>
      <c r="G74" s="185">
        <v>40</v>
      </c>
      <c r="H74" s="223">
        <v>0</v>
      </c>
      <c r="I74" s="223">
        <v>-1</v>
      </c>
      <c r="J74" s="223">
        <v>0</v>
      </c>
      <c r="K74" s="223">
        <v>-1</v>
      </c>
      <c r="L74" s="223">
        <v>-1</v>
      </c>
      <c r="M74" s="223">
        <v>-1</v>
      </c>
      <c r="N74" s="223">
        <v>-1</v>
      </c>
      <c r="O74" s="223">
        <v>-1</v>
      </c>
      <c r="P74" s="223">
        <v>-1</v>
      </c>
      <c r="Q74" s="223">
        <v>0</v>
      </c>
      <c r="R74" s="223">
        <v>-1</v>
      </c>
      <c r="S74" s="223">
        <v>-1</v>
      </c>
      <c r="T74" s="223">
        <v>-1</v>
      </c>
      <c r="U74" s="223">
        <v>-1</v>
      </c>
      <c r="V74" s="223">
        <v>-1</v>
      </c>
      <c r="W74" s="223">
        <v>-1</v>
      </c>
      <c r="X74" s="223">
        <v>0</v>
      </c>
      <c r="Y74" s="223">
        <v>0</v>
      </c>
      <c r="Z74" s="223">
        <v>-1</v>
      </c>
      <c r="AA74" s="223">
        <v>0</v>
      </c>
      <c r="AB74" s="223">
        <v>-1</v>
      </c>
      <c r="AC74" s="223"/>
      <c r="AD74" s="223"/>
      <c r="AE74" s="223"/>
      <c r="AF74" s="223"/>
      <c r="AG74" s="223"/>
      <c r="AH74" s="223"/>
      <c r="AI74" s="223"/>
      <c r="AJ74" s="223"/>
      <c r="AK74" s="223"/>
      <c r="AL74" s="223"/>
      <c r="AM74" s="223"/>
      <c r="AN74" s="223"/>
      <c r="AO74" s="223"/>
      <c r="AP74" s="223"/>
      <c r="AQ74" s="223"/>
      <c r="AR74" s="223"/>
      <c r="AS74" s="223"/>
      <c r="AT74" s="223"/>
      <c r="AU74" s="223"/>
      <c r="AV74" s="223"/>
      <c r="AW74" s="223"/>
      <c r="AX74" s="223"/>
      <c r="AY74" s="223"/>
      <c r="AZ74" s="223"/>
      <c r="BA74" s="223"/>
      <c r="BB74" s="223"/>
      <c r="BC74" s="223"/>
      <c r="BD74" s="223"/>
      <c r="BE74" s="223"/>
      <c r="BF74" s="223"/>
      <c r="BG74" s="223"/>
      <c r="BH74" s="223"/>
      <c r="BI74" s="223"/>
      <c r="BJ74" s="223"/>
      <c r="BK74" s="223"/>
      <c r="BL74" s="223"/>
      <c r="BM74" s="223"/>
      <c r="BN74" s="223"/>
      <c r="BO74" s="185"/>
      <c r="BP74" s="185"/>
      <c r="BQ74" s="185"/>
      <c r="BR74" s="185"/>
      <c r="BS74" s="185"/>
    </row>
    <row r="75" spans="1:71" x14ac:dyDescent="0.2">
      <c r="A75" s="174" t="s">
        <v>900</v>
      </c>
      <c r="B75" s="174" t="s">
        <v>985</v>
      </c>
      <c r="C75" s="174">
        <v>6</v>
      </c>
      <c r="D75" s="204">
        <v>48.071655527555592</v>
      </c>
      <c r="E75" s="204">
        <v>1.2210200503999147</v>
      </c>
      <c r="G75" s="185">
        <v>41</v>
      </c>
      <c r="H75" s="223">
        <v>0</v>
      </c>
      <c r="I75" s="223">
        <v>-1</v>
      </c>
      <c r="J75" s="223">
        <v>0</v>
      </c>
      <c r="K75" s="223">
        <v>0</v>
      </c>
      <c r="L75" s="223">
        <v>0</v>
      </c>
      <c r="M75" s="223">
        <v>0</v>
      </c>
      <c r="N75" s="223">
        <v>0</v>
      </c>
      <c r="O75" s="223">
        <v>0</v>
      </c>
      <c r="P75" s="223">
        <v>-1</v>
      </c>
      <c r="Q75" s="223">
        <v>1</v>
      </c>
      <c r="R75" s="223">
        <v>0</v>
      </c>
      <c r="S75" s="223">
        <v>0</v>
      </c>
      <c r="T75" s="223">
        <v>0</v>
      </c>
      <c r="U75" s="223">
        <v>-1</v>
      </c>
      <c r="V75" s="223">
        <v>-1</v>
      </c>
      <c r="W75" s="223">
        <v>-1</v>
      </c>
      <c r="X75" s="223">
        <v>0</v>
      </c>
      <c r="Y75" s="223">
        <v>0</v>
      </c>
      <c r="Z75" s="223">
        <v>-1</v>
      </c>
      <c r="AA75" s="223">
        <v>1</v>
      </c>
      <c r="AB75" s="223">
        <v>-1</v>
      </c>
      <c r="AC75" s="223"/>
      <c r="AD75" s="223"/>
      <c r="AE75" s="223"/>
      <c r="AF75" s="223"/>
      <c r="AG75" s="223"/>
      <c r="AH75" s="223"/>
      <c r="AI75" s="223"/>
      <c r="AJ75" s="223"/>
      <c r="AK75" s="223"/>
      <c r="AL75" s="223"/>
      <c r="AM75" s="223"/>
      <c r="AN75" s="223"/>
      <c r="AO75" s="223"/>
      <c r="AP75" s="223"/>
      <c r="AQ75" s="223"/>
      <c r="AR75" s="223"/>
      <c r="AS75" s="223"/>
      <c r="AT75" s="223"/>
      <c r="AU75" s="223"/>
      <c r="AV75" s="223"/>
      <c r="AW75" s="223"/>
      <c r="AX75" s="223"/>
      <c r="AY75" s="223"/>
      <c r="AZ75" s="223"/>
      <c r="BA75" s="223"/>
      <c r="BB75" s="223"/>
      <c r="BC75" s="223"/>
      <c r="BD75" s="223"/>
      <c r="BE75" s="223"/>
      <c r="BF75" s="223"/>
      <c r="BG75" s="223"/>
      <c r="BH75" s="223"/>
      <c r="BI75" s="223"/>
      <c r="BJ75" s="223"/>
      <c r="BK75" s="223"/>
      <c r="BL75" s="223"/>
      <c r="BM75" s="223"/>
      <c r="BN75" s="223"/>
      <c r="BO75" s="185"/>
      <c r="BP75" s="185"/>
      <c r="BQ75" s="185"/>
      <c r="BR75" s="185"/>
      <c r="BS75" s="185"/>
    </row>
    <row r="76" spans="1:71" x14ac:dyDescent="0.2">
      <c r="A76" s="174" t="s">
        <v>1011</v>
      </c>
      <c r="B76" s="174" t="s">
        <v>1066</v>
      </c>
      <c r="C76" s="174">
        <v>11</v>
      </c>
      <c r="D76" s="204">
        <v>115.90909090909088</v>
      </c>
      <c r="E76" s="204">
        <v>2.9440909090908463</v>
      </c>
      <c r="G76" s="185">
        <v>42</v>
      </c>
      <c r="H76" s="223">
        <v>0</v>
      </c>
      <c r="I76" s="223">
        <v>-1</v>
      </c>
      <c r="J76" s="223">
        <v>0</v>
      </c>
      <c r="K76" s="223">
        <v>0</v>
      </c>
      <c r="L76" s="223">
        <v>0</v>
      </c>
      <c r="M76" s="223">
        <v>0</v>
      </c>
      <c r="N76" s="223">
        <v>0</v>
      </c>
      <c r="O76" s="223">
        <v>0</v>
      </c>
      <c r="P76" s="223">
        <v>-1</v>
      </c>
      <c r="Q76" s="223">
        <v>1</v>
      </c>
      <c r="R76" s="223">
        <v>0</v>
      </c>
      <c r="S76" s="223">
        <v>0</v>
      </c>
      <c r="T76" s="223">
        <v>0</v>
      </c>
      <c r="U76" s="223">
        <v>-1</v>
      </c>
      <c r="V76" s="223">
        <v>-1</v>
      </c>
      <c r="W76" s="223">
        <v>-1</v>
      </c>
      <c r="X76" s="223">
        <v>0</v>
      </c>
      <c r="Y76" s="223">
        <v>0</v>
      </c>
      <c r="Z76" s="223">
        <v>-1</v>
      </c>
      <c r="AA76" s="223">
        <v>1</v>
      </c>
      <c r="AB76" s="223">
        <v>-1</v>
      </c>
      <c r="AC76" s="223"/>
      <c r="AD76" s="223"/>
      <c r="AE76" s="223"/>
      <c r="AF76" s="223"/>
      <c r="AG76" s="223"/>
      <c r="AH76" s="223"/>
      <c r="AI76" s="223"/>
      <c r="AJ76" s="223"/>
      <c r="AK76" s="223"/>
      <c r="AL76" s="223"/>
      <c r="AM76" s="223"/>
      <c r="AN76" s="223"/>
      <c r="AO76" s="223"/>
      <c r="AP76" s="223"/>
      <c r="AQ76" s="223"/>
      <c r="AR76" s="223"/>
      <c r="AS76" s="223"/>
      <c r="AT76" s="223"/>
      <c r="AU76" s="223"/>
      <c r="AV76" s="223"/>
      <c r="AW76" s="223"/>
      <c r="AX76" s="223"/>
      <c r="AY76" s="223"/>
      <c r="AZ76" s="223"/>
      <c r="BA76" s="223"/>
      <c r="BB76" s="223"/>
      <c r="BC76" s="223"/>
      <c r="BD76" s="223"/>
      <c r="BE76" s="223"/>
      <c r="BF76" s="223"/>
      <c r="BG76" s="223"/>
      <c r="BH76" s="223"/>
      <c r="BI76" s="223"/>
      <c r="BJ76" s="223"/>
      <c r="BK76" s="223"/>
      <c r="BL76" s="223"/>
      <c r="BM76" s="223"/>
      <c r="BN76" s="223"/>
      <c r="BO76" s="185"/>
      <c r="BP76" s="185"/>
      <c r="BQ76" s="185"/>
      <c r="BR76" s="185"/>
      <c r="BS76" s="185"/>
    </row>
    <row r="77" spans="1:71" x14ac:dyDescent="0.2">
      <c r="A77" s="174" t="s">
        <v>1043</v>
      </c>
      <c r="B77" s="174" t="s">
        <v>939</v>
      </c>
      <c r="C77" s="174">
        <v>5</v>
      </c>
      <c r="D77" s="204">
        <v>41.049030786773088</v>
      </c>
      <c r="E77" s="204">
        <v>1.0426453819840447</v>
      </c>
      <c r="G77" s="185">
        <v>43</v>
      </c>
      <c r="H77" s="223">
        <v>0</v>
      </c>
      <c r="I77" s="223">
        <v>-1</v>
      </c>
      <c r="J77" s="223">
        <v>0</v>
      </c>
      <c r="K77" s="223">
        <v>0</v>
      </c>
      <c r="L77" s="223">
        <v>0</v>
      </c>
      <c r="M77" s="223">
        <v>0</v>
      </c>
      <c r="N77" s="223">
        <v>0</v>
      </c>
      <c r="O77" s="223">
        <v>0</v>
      </c>
      <c r="P77" s="223">
        <v>-1</v>
      </c>
      <c r="Q77" s="223">
        <v>1</v>
      </c>
      <c r="R77" s="223">
        <v>0</v>
      </c>
      <c r="S77" s="223">
        <v>0</v>
      </c>
      <c r="T77" s="223">
        <v>0</v>
      </c>
      <c r="U77" s="223">
        <v>-1</v>
      </c>
      <c r="V77" s="223">
        <v>-1</v>
      </c>
      <c r="W77" s="223">
        <v>-1</v>
      </c>
      <c r="X77" s="223">
        <v>0</v>
      </c>
      <c r="Y77" s="223">
        <v>0</v>
      </c>
      <c r="Z77" s="223">
        <v>-1</v>
      </c>
      <c r="AA77" s="223">
        <v>1</v>
      </c>
      <c r="AB77" s="223">
        <v>-1</v>
      </c>
      <c r="AC77" s="223"/>
      <c r="AD77" s="223"/>
      <c r="AE77" s="223"/>
      <c r="AF77" s="223"/>
      <c r="AG77" s="223"/>
      <c r="AH77" s="223"/>
      <c r="AI77" s="223"/>
      <c r="AJ77" s="223"/>
      <c r="AK77" s="223"/>
      <c r="AL77" s="223"/>
      <c r="AM77" s="223"/>
      <c r="AN77" s="223"/>
      <c r="AO77" s="223"/>
      <c r="AP77" s="223"/>
      <c r="AQ77" s="223"/>
      <c r="AR77" s="223"/>
      <c r="AS77" s="223"/>
      <c r="AT77" s="223"/>
      <c r="AU77" s="223"/>
      <c r="AV77" s="223"/>
      <c r="AW77" s="223"/>
      <c r="AX77" s="223"/>
      <c r="AY77" s="223"/>
      <c r="AZ77" s="223"/>
      <c r="BA77" s="223"/>
      <c r="BB77" s="223"/>
      <c r="BC77" s="223"/>
      <c r="BD77" s="223"/>
      <c r="BE77" s="223"/>
      <c r="BF77" s="223"/>
      <c r="BG77" s="223"/>
      <c r="BH77" s="223"/>
      <c r="BI77" s="223"/>
      <c r="BJ77" s="223"/>
      <c r="BK77" s="223"/>
      <c r="BL77" s="223"/>
      <c r="BM77" s="223"/>
      <c r="BN77" s="223"/>
      <c r="BO77" s="185"/>
      <c r="BP77" s="185"/>
      <c r="BQ77" s="185"/>
      <c r="BR77" s="185"/>
      <c r="BS77" s="185"/>
    </row>
    <row r="78" spans="1:71" x14ac:dyDescent="0.2">
      <c r="A78" s="174" t="s">
        <v>1076</v>
      </c>
      <c r="B78" s="174" t="s">
        <v>964</v>
      </c>
      <c r="C78" s="174">
        <v>14</v>
      </c>
      <c r="D78" s="204">
        <v>48.401966810079898</v>
      </c>
      <c r="E78" s="204">
        <v>1.2294099569760419</v>
      </c>
      <c r="G78" s="185">
        <v>44</v>
      </c>
      <c r="H78" s="223">
        <v>0</v>
      </c>
      <c r="I78" s="223">
        <v>-1</v>
      </c>
      <c r="J78" s="223">
        <v>0</v>
      </c>
      <c r="K78" s="223">
        <v>0</v>
      </c>
      <c r="L78" s="223">
        <v>0</v>
      </c>
      <c r="M78" s="223">
        <v>0</v>
      </c>
      <c r="N78" s="223">
        <v>0</v>
      </c>
      <c r="O78" s="223">
        <v>0</v>
      </c>
      <c r="P78" s="223">
        <v>-1</v>
      </c>
      <c r="Q78" s="223">
        <v>1</v>
      </c>
      <c r="R78" s="223">
        <v>0</v>
      </c>
      <c r="S78" s="223">
        <v>0</v>
      </c>
      <c r="T78" s="223">
        <v>0</v>
      </c>
      <c r="U78" s="223">
        <v>-1</v>
      </c>
      <c r="V78" s="223">
        <v>-1</v>
      </c>
      <c r="W78" s="223">
        <v>-1</v>
      </c>
      <c r="X78" s="223">
        <v>0</v>
      </c>
      <c r="Y78" s="223">
        <v>0</v>
      </c>
      <c r="Z78" s="223">
        <v>-1</v>
      </c>
      <c r="AA78" s="223">
        <v>1</v>
      </c>
      <c r="AB78" s="223">
        <v>-1</v>
      </c>
      <c r="AC78" s="223"/>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223"/>
      <c r="BA78" s="223"/>
      <c r="BB78" s="223"/>
      <c r="BC78" s="223"/>
      <c r="BD78" s="223"/>
      <c r="BE78" s="223"/>
      <c r="BF78" s="223"/>
      <c r="BG78" s="223"/>
      <c r="BH78" s="223"/>
      <c r="BI78" s="223"/>
      <c r="BJ78" s="223"/>
      <c r="BK78" s="223"/>
      <c r="BL78" s="223"/>
      <c r="BM78" s="223"/>
      <c r="BN78" s="223"/>
      <c r="BO78" s="185"/>
      <c r="BP78" s="185"/>
      <c r="BQ78" s="185"/>
      <c r="BR78" s="185"/>
      <c r="BS78" s="185"/>
    </row>
    <row r="79" spans="1:71" x14ac:dyDescent="0.2">
      <c r="A79" s="174" t="s">
        <v>1024</v>
      </c>
      <c r="B79" s="174" t="s">
        <v>984</v>
      </c>
      <c r="C79" s="174">
        <v>5</v>
      </c>
      <c r="D79" s="204">
        <v>41.049030786773088</v>
      </c>
      <c r="E79" s="204">
        <v>1.0426453819840447</v>
      </c>
      <c r="G79" s="185">
        <v>45</v>
      </c>
      <c r="H79" s="223">
        <v>0</v>
      </c>
      <c r="I79" s="223">
        <v>-1</v>
      </c>
      <c r="J79" s="223">
        <v>0</v>
      </c>
      <c r="K79" s="223">
        <v>0</v>
      </c>
      <c r="L79" s="223">
        <v>0</v>
      </c>
      <c r="M79" s="223">
        <v>0</v>
      </c>
      <c r="N79" s="223">
        <v>0</v>
      </c>
      <c r="O79" s="223">
        <v>0</v>
      </c>
      <c r="P79" s="223">
        <v>-1</v>
      </c>
      <c r="Q79" s="223">
        <v>1</v>
      </c>
      <c r="R79" s="223">
        <v>0</v>
      </c>
      <c r="S79" s="223">
        <v>0</v>
      </c>
      <c r="T79" s="223">
        <v>0</v>
      </c>
      <c r="U79" s="223">
        <v>-1</v>
      </c>
      <c r="V79" s="223">
        <v>-1</v>
      </c>
      <c r="W79" s="223">
        <v>-1</v>
      </c>
      <c r="X79" s="223">
        <v>0</v>
      </c>
      <c r="Y79" s="223">
        <v>0</v>
      </c>
      <c r="Z79" s="223">
        <v>-1</v>
      </c>
      <c r="AA79" s="223">
        <v>1</v>
      </c>
      <c r="AB79" s="223">
        <v>-1</v>
      </c>
      <c r="AC79" s="223"/>
      <c r="AD79" s="223"/>
      <c r="AE79" s="223"/>
      <c r="AF79" s="223"/>
      <c r="AG79" s="223"/>
      <c r="AH79" s="223"/>
      <c r="AI79" s="223"/>
      <c r="AJ79" s="223"/>
      <c r="AK79" s="223"/>
      <c r="AL79" s="223"/>
      <c r="AM79" s="223"/>
      <c r="AN79" s="223"/>
      <c r="AO79" s="223"/>
      <c r="AP79" s="223"/>
      <c r="AQ79" s="223"/>
      <c r="AR79" s="223"/>
      <c r="AS79" s="223"/>
      <c r="AT79" s="223"/>
      <c r="AU79" s="223"/>
      <c r="AV79" s="223"/>
      <c r="AW79" s="223"/>
      <c r="AX79" s="223"/>
      <c r="AY79" s="223"/>
      <c r="AZ79" s="223"/>
      <c r="BA79" s="223"/>
      <c r="BB79" s="223"/>
      <c r="BC79" s="223"/>
      <c r="BD79" s="223"/>
      <c r="BE79" s="223"/>
      <c r="BF79" s="223"/>
      <c r="BG79" s="223"/>
      <c r="BH79" s="223"/>
      <c r="BI79" s="223"/>
      <c r="BJ79" s="223"/>
      <c r="BK79" s="223"/>
      <c r="BL79" s="223"/>
      <c r="BM79" s="223"/>
      <c r="BN79" s="223"/>
      <c r="BO79" s="185"/>
      <c r="BP79" s="185"/>
      <c r="BQ79" s="185"/>
      <c r="BR79" s="185"/>
      <c r="BS79" s="185"/>
    </row>
    <row r="80" spans="1:71" x14ac:dyDescent="0.2">
      <c r="A80" s="174" t="s">
        <v>907</v>
      </c>
      <c r="B80" s="174" t="s">
        <v>973</v>
      </c>
      <c r="C80" s="174">
        <v>7</v>
      </c>
      <c r="D80" s="204">
        <v>36.764705882352935</v>
      </c>
      <c r="E80" s="204">
        <v>0.93382352941176805</v>
      </c>
      <c r="G80" s="185">
        <v>46</v>
      </c>
      <c r="H80" s="223">
        <v>0</v>
      </c>
      <c r="I80" s="223">
        <v>-1</v>
      </c>
      <c r="J80" s="223">
        <v>0</v>
      </c>
      <c r="K80" s="223">
        <v>0</v>
      </c>
      <c r="L80" s="223">
        <v>0</v>
      </c>
      <c r="M80" s="223">
        <v>0</v>
      </c>
      <c r="N80" s="223">
        <v>0</v>
      </c>
      <c r="O80" s="223">
        <v>0</v>
      </c>
      <c r="P80" s="223">
        <v>0</v>
      </c>
      <c r="Q80" s="223">
        <v>1</v>
      </c>
      <c r="R80" s="223">
        <v>0</v>
      </c>
      <c r="S80" s="223">
        <v>0</v>
      </c>
      <c r="T80" s="223">
        <v>0</v>
      </c>
      <c r="U80" s="223">
        <v>-1</v>
      </c>
      <c r="V80" s="223">
        <v>-1</v>
      </c>
      <c r="W80" s="223">
        <v>-1</v>
      </c>
      <c r="X80" s="223">
        <v>0</v>
      </c>
      <c r="Y80" s="223">
        <v>0</v>
      </c>
      <c r="Z80" s="223">
        <v>0</v>
      </c>
      <c r="AA80" s="223">
        <v>1</v>
      </c>
      <c r="AB80" s="223">
        <v>0</v>
      </c>
      <c r="AC80" s="223"/>
      <c r="AD80" s="223"/>
      <c r="AE80" s="223"/>
      <c r="AF80" s="223"/>
      <c r="AG80" s="223"/>
      <c r="AH80" s="223"/>
      <c r="AI80" s="223"/>
      <c r="AJ80" s="223"/>
      <c r="AK80" s="223"/>
      <c r="AL80" s="223"/>
      <c r="AM80" s="223"/>
      <c r="AN80" s="223"/>
      <c r="AO80" s="223"/>
      <c r="AP80" s="223"/>
      <c r="AQ80" s="223"/>
      <c r="AR80" s="223"/>
      <c r="AS80" s="223"/>
      <c r="AT80" s="223"/>
      <c r="AU80" s="223"/>
      <c r="AV80" s="223"/>
      <c r="AW80" s="223"/>
      <c r="AX80" s="223"/>
      <c r="AY80" s="223"/>
      <c r="AZ80" s="223"/>
      <c r="BA80" s="223"/>
      <c r="BB80" s="223"/>
      <c r="BC80" s="223"/>
      <c r="BD80" s="223"/>
      <c r="BE80" s="223"/>
      <c r="BF80" s="223"/>
      <c r="BG80" s="223"/>
      <c r="BH80" s="223"/>
      <c r="BI80" s="223"/>
      <c r="BJ80" s="223"/>
      <c r="BK80" s="223"/>
      <c r="BL80" s="223"/>
      <c r="BM80" s="223"/>
      <c r="BN80" s="223"/>
      <c r="BO80" s="185"/>
      <c r="BP80" s="185"/>
      <c r="BQ80" s="185"/>
      <c r="BR80" s="185"/>
      <c r="BS80" s="185"/>
    </row>
    <row r="81" spans="1:71" x14ac:dyDescent="0.2">
      <c r="A81" s="174" t="s">
        <v>1024</v>
      </c>
      <c r="B81" s="174" t="s">
        <v>953</v>
      </c>
      <c r="C81" s="174">
        <v>5</v>
      </c>
      <c r="D81" s="204">
        <v>41.049030786773088</v>
      </c>
      <c r="E81" s="204">
        <v>1.0426453819840447</v>
      </c>
      <c r="G81" s="185">
        <v>47</v>
      </c>
      <c r="H81" s="223">
        <v>0</v>
      </c>
      <c r="I81" s="223">
        <v>-1</v>
      </c>
      <c r="J81" s="223">
        <v>0</v>
      </c>
      <c r="K81" s="223">
        <v>0</v>
      </c>
      <c r="L81" s="223">
        <v>0</v>
      </c>
      <c r="M81" s="223">
        <v>0</v>
      </c>
      <c r="N81" s="223">
        <v>0</v>
      </c>
      <c r="O81" s="223">
        <v>0</v>
      </c>
      <c r="P81" s="223">
        <v>0</v>
      </c>
      <c r="Q81" s="223">
        <v>1</v>
      </c>
      <c r="R81" s="223">
        <v>0</v>
      </c>
      <c r="S81" s="223">
        <v>0</v>
      </c>
      <c r="T81" s="223">
        <v>0</v>
      </c>
      <c r="U81" s="223">
        <v>-1</v>
      </c>
      <c r="V81" s="223">
        <v>-1</v>
      </c>
      <c r="W81" s="223">
        <v>-1</v>
      </c>
      <c r="X81" s="223">
        <v>0</v>
      </c>
      <c r="Y81" s="223">
        <v>0</v>
      </c>
      <c r="Z81" s="223">
        <v>0</v>
      </c>
      <c r="AA81" s="223">
        <v>1</v>
      </c>
      <c r="AB81" s="223">
        <v>0</v>
      </c>
      <c r="AC81" s="223"/>
      <c r="AD81" s="223"/>
      <c r="AE81" s="223"/>
      <c r="AF81" s="223"/>
      <c r="AG81" s="223"/>
      <c r="AH81" s="223"/>
      <c r="AI81" s="223"/>
      <c r="AJ81" s="223"/>
      <c r="AK81" s="223"/>
      <c r="AL81" s="223"/>
      <c r="AM81" s="223"/>
      <c r="AN81" s="223"/>
      <c r="AO81" s="223"/>
      <c r="AP81" s="223"/>
      <c r="AQ81" s="223"/>
      <c r="AR81" s="223"/>
      <c r="AS81" s="223"/>
      <c r="AT81" s="223"/>
      <c r="AU81" s="223"/>
      <c r="AV81" s="223"/>
      <c r="AW81" s="223"/>
      <c r="AX81" s="223"/>
      <c r="AY81" s="223"/>
      <c r="AZ81" s="223"/>
      <c r="BA81" s="223"/>
      <c r="BB81" s="223"/>
      <c r="BC81" s="223"/>
      <c r="BD81" s="223"/>
      <c r="BE81" s="223"/>
      <c r="BF81" s="223"/>
      <c r="BG81" s="223"/>
      <c r="BH81" s="223"/>
      <c r="BI81" s="223"/>
      <c r="BJ81" s="223"/>
      <c r="BK81" s="223"/>
      <c r="BL81" s="223"/>
      <c r="BM81" s="223"/>
      <c r="BN81" s="223"/>
      <c r="BO81" s="185"/>
      <c r="BP81" s="185"/>
      <c r="BQ81" s="185"/>
      <c r="BR81" s="185"/>
      <c r="BS81" s="185"/>
    </row>
    <row r="82" spans="1:71" x14ac:dyDescent="0.2">
      <c r="A82" s="174" t="s">
        <v>1076</v>
      </c>
      <c r="B82" s="174" t="s">
        <v>906</v>
      </c>
      <c r="C82" s="174">
        <v>14</v>
      </c>
      <c r="D82" s="204">
        <v>48.401966810079898</v>
      </c>
      <c r="E82" s="204">
        <v>1.2294099569760419</v>
      </c>
      <c r="G82" s="185">
        <v>48</v>
      </c>
      <c r="H82" s="223">
        <v>0</v>
      </c>
      <c r="I82" s="223">
        <v>-1</v>
      </c>
      <c r="J82" s="223">
        <v>0</v>
      </c>
      <c r="K82" s="223">
        <v>0</v>
      </c>
      <c r="L82" s="223">
        <v>0</v>
      </c>
      <c r="M82" s="223">
        <v>0</v>
      </c>
      <c r="N82" s="223">
        <v>0</v>
      </c>
      <c r="O82" s="223">
        <v>0</v>
      </c>
      <c r="P82" s="223">
        <v>0</v>
      </c>
      <c r="Q82" s="223">
        <v>1</v>
      </c>
      <c r="R82" s="223">
        <v>0</v>
      </c>
      <c r="S82" s="223">
        <v>0</v>
      </c>
      <c r="T82" s="223">
        <v>0</v>
      </c>
      <c r="U82" s="223">
        <v>-1</v>
      </c>
      <c r="V82" s="223">
        <v>-1</v>
      </c>
      <c r="W82" s="223">
        <v>-1</v>
      </c>
      <c r="X82" s="223">
        <v>0</v>
      </c>
      <c r="Y82" s="223">
        <v>0</v>
      </c>
      <c r="Z82" s="223">
        <v>0</v>
      </c>
      <c r="AA82" s="223">
        <v>1</v>
      </c>
      <c r="AB82" s="223">
        <v>0</v>
      </c>
      <c r="AC82" s="223"/>
      <c r="AD82" s="223"/>
      <c r="AE82" s="223"/>
      <c r="AF82" s="223"/>
      <c r="AG82" s="223"/>
      <c r="AH82" s="223"/>
      <c r="AI82" s="223"/>
      <c r="AJ82" s="223"/>
      <c r="AK82" s="223"/>
      <c r="AL82" s="223"/>
      <c r="AM82" s="223"/>
      <c r="AN82" s="223"/>
      <c r="AO82" s="223"/>
      <c r="AP82" s="223"/>
      <c r="AQ82" s="223"/>
      <c r="AR82" s="223"/>
      <c r="AS82" s="223"/>
      <c r="AT82" s="223"/>
      <c r="AU82" s="223"/>
      <c r="AV82" s="223"/>
      <c r="AW82" s="223"/>
      <c r="AX82" s="223"/>
      <c r="AY82" s="223"/>
      <c r="AZ82" s="223"/>
      <c r="BA82" s="223"/>
      <c r="BB82" s="223"/>
      <c r="BC82" s="223"/>
      <c r="BD82" s="223"/>
      <c r="BE82" s="223"/>
      <c r="BF82" s="223"/>
      <c r="BG82" s="223"/>
      <c r="BH82" s="223"/>
      <c r="BI82" s="223"/>
      <c r="BJ82" s="223"/>
      <c r="BK82" s="223"/>
      <c r="BL82" s="223"/>
      <c r="BM82" s="223"/>
      <c r="BN82" s="223"/>
      <c r="BO82" s="185"/>
      <c r="BP82" s="185"/>
      <c r="BQ82" s="185"/>
      <c r="BR82" s="185"/>
      <c r="BS82" s="185"/>
    </row>
    <row r="83" spans="1:71" x14ac:dyDescent="0.2">
      <c r="A83" s="174" t="s">
        <v>1076</v>
      </c>
      <c r="B83" s="174" t="s">
        <v>963</v>
      </c>
      <c r="C83" s="174">
        <v>14</v>
      </c>
      <c r="D83" s="204">
        <v>48.401966810079898</v>
      </c>
      <c r="E83" s="204">
        <v>1.2294099569760419</v>
      </c>
      <c r="G83" s="185">
        <v>49</v>
      </c>
      <c r="H83" s="223">
        <v>0</v>
      </c>
      <c r="I83" s="223">
        <v>-1</v>
      </c>
      <c r="J83" s="223">
        <v>0</v>
      </c>
      <c r="K83" s="223">
        <v>0</v>
      </c>
      <c r="L83" s="223">
        <v>0</v>
      </c>
      <c r="M83" s="223">
        <v>0</v>
      </c>
      <c r="N83" s="223">
        <v>0</v>
      </c>
      <c r="O83" s="223">
        <v>0</v>
      </c>
      <c r="P83" s="223">
        <v>0</v>
      </c>
      <c r="Q83" s="223">
        <v>1</v>
      </c>
      <c r="R83" s="223">
        <v>0</v>
      </c>
      <c r="S83" s="223">
        <v>0</v>
      </c>
      <c r="T83" s="223">
        <v>0</v>
      </c>
      <c r="U83" s="223">
        <v>-1</v>
      </c>
      <c r="V83" s="223">
        <v>-1</v>
      </c>
      <c r="W83" s="223">
        <v>-1</v>
      </c>
      <c r="X83" s="223">
        <v>0</v>
      </c>
      <c r="Y83" s="223">
        <v>0</v>
      </c>
      <c r="Z83" s="223">
        <v>0</v>
      </c>
      <c r="AA83" s="223">
        <v>1</v>
      </c>
      <c r="AB83" s="223">
        <v>0</v>
      </c>
      <c r="AC83" s="223"/>
      <c r="AD83" s="223"/>
      <c r="AE83" s="223"/>
      <c r="AF83" s="223"/>
      <c r="AG83" s="223"/>
      <c r="AH83" s="223"/>
      <c r="AI83" s="223"/>
      <c r="AJ83" s="223"/>
      <c r="AK83" s="223"/>
      <c r="AL83" s="223"/>
      <c r="AM83" s="223"/>
      <c r="AN83" s="223"/>
      <c r="AO83" s="223"/>
      <c r="AP83" s="223"/>
      <c r="AQ83" s="223"/>
      <c r="AR83" s="223"/>
      <c r="AS83" s="223"/>
      <c r="AT83" s="223"/>
      <c r="AU83" s="223"/>
      <c r="AV83" s="223"/>
      <c r="AW83" s="223"/>
      <c r="AX83" s="223"/>
      <c r="AY83" s="223"/>
      <c r="AZ83" s="223"/>
      <c r="BA83" s="223"/>
      <c r="BB83" s="223"/>
      <c r="BC83" s="223"/>
      <c r="BD83" s="223"/>
      <c r="BE83" s="223"/>
      <c r="BF83" s="223"/>
      <c r="BG83" s="223"/>
      <c r="BH83" s="223"/>
      <c r="BI83" s="223"/>
      <c r="BJ83" s="223"/>
      <c r="BK83" s="223"/>
      <c r="BL83" s="223"/>
      <c r="BM83" s="223"/>
      <c r="BN83" s="223"/>
      <c r="BO83" s="185"/>
      <c r="BP83" s="185"/>
      <c r="BQ83" s="185"/>
      <c r="BR83" s="185"/>
      <c r="BS83" s="185"/>
    </row>
    <row r="84" spans="1:71" x14ac:dyDescent="0.2">
      <c r="A84" s="174" t="s">
        <v>1076</v>
      </c>
      <c r="B84" s="174" t="s">
        <v>965</v>
      </c>
      <c r="C84" s="174">
        <v>14</v>
      </c>
      <c r="D84" s="204">
        <v>48.401966810079898</v>
      </c>
      <c r="E84" s="204">
        <v>1.2294099569760419</v>
      </c>
      <c r="G84" s="185">
        <v>50</v>
      </c>
      <c r="H84" s="223">
        <v>0</v>
      </c>
      <c r="I84" s="223">
        <v>-1</v>
      </c>
      <c r="J84" s="223">
        <v>0</v>
      </c>
      <c r="K84" s="223">
        <v>0</v>
      </c>
      <c r="L84" s="223">
        <v>0</v>
      </c>
      <c r="M84" s="223">
        <v>0</v>
      </c>
      <c r="N84" s="223">
        <v>0</v>
      </c>
      <c r="O84" s="223">
        <v>0</v>
      </c>
      <c r="P84" s="223">
        <v>0</v>
      </c>
      <c r="Q84" s="223">
        <v>1</v>
      </c>
      <c r="R84" s="223">
        <v>0</v>
      </c>
      <c r="S84" s="223">
        <v>0</v>
      </c>
      <c r="T84" s="223">
        <v>0</v>
      </c>
      <c r="U84" s="223">
        <v>-1</v>
      </c>
      <c r="V84" s="223">
        <v>-1</v>
      </c>
      <c r="W84" s="223">
        <v>-1</v>
      </c>
      <c r="X84" s="223">
        <v>0</v>
      </c>
      <c r="Y84" s="223">
        <v>0</v>
      </c>
      <c r="Z84" s="223">
        <v>0</v>
      </c>
      <c r="AA84" s="223">
        <v>1</v>
      </c>
      <c r="AB84" s="223">
        <v>0</v>
      </c>
      <c r="AC84" s="223"/>
      <c r="AD84" s="223"/>
      <c r="AE84" s="223"/>
      <c r="AF84" s="223"/>
      <c r="AG84" s="223"/>
      <c r="AH84" s="223"/>
      <c r="AI84" s="223"/>
      <c r="AJ84" s="223"/>
      <c r="AK84" s="223"/>
      <c r="AL84" s="223"/>
      <c r="AM84" s="223"/>
      <c r="AN84" s="223"/>
      <c r="AO84" s="223"/>
      <c r="AP84" s="223"/>
      <c r="AQ84" s="223"/>
      <c r="AR84" s="223"/>
      <c r="AS84" s="223"/>
      <c r="AT84" s="223"/>
      <c r="AU84" s="223"/>
      <c r="AV84" s="223"/>
      <c r="AW84" s="223"/>
      <c r="AX84" s="223"/>
      <c r="AY84" s="223"/>
      <c r="AZ84" s="223"/>
      <c r="BA84" s="223"/>
      <c r="BB84" s="223"/>
      <c r="BC84" s="223"/>
      <c r="BD84" s="223"/>
      <c r="BE84" s="223"/>
      <c r="BF84" s="223"/>
      <c r="BG84" s="223"/>
      <c r="BH84" s="223"/>
      <c r="BI84" s="223"/>
      <c r="BJ84" s="223"/>
      <c r="BK84" s="223"/>
      <c r="BL84" s="223"/>
      <c r="BM84" s="223"/>
      <c r="BN84" s="223"/>
      <c r="BO84" s="185"/>
      <c r="BP84" s="185"/>
      <c r="BQ84" s="185"/>
      <c r="BR84" s="185"/>
      <c r="BS84" s="185"/>
    </row>
    <row r="85" spans="1:71" x14ac:dyDescent="0.2">
      <c r="A85" s="174" t="s">
        <v>4171</v>
      </c>
      <c r="B85" s="174" t="s">
        <v>4171</v>
      </c>
      <c r="C85" s="174">
        <v>3</v>
      </c>
      <c r="D85" s="204">
        <v>48.917989685509149</v>
      </c>
      <c r="E85" s="204">
        <v>1.2425169380119314</v>
      </c>
      <c r="G85" s="185">
        <v>51</v>
      </c>
      <c r="H85" s="223">
        <v>0</v>
      </c>
      <c r="I85" s="223">
        <v>0</v>
      </c>
      <c r="J85" s="223">
        <v>1</v>
      </c>
      <c r="K85" s="223">
        <v>0</v>
      </c>
      <c r="L85" s="223">
        <v>0</v>
      </c>
      <c r="M85" s="223">
        <v>0</v>
      </c>
      <c r="N85" s="223">
        <v>0</v>
      </c>
      <c r="O85" s="223">
        <v>0</v>
      </c>
      <c r="P85" s="223">
        <v>0</v>
      </c>
      <c r="Q85" s="223">
        <v>1</v>
      </c>
      <c r="R85" s="223">
        <v>0</v>
      </c>
      <c r="S85" s="223">
        <v>0</v>
      </c>
      <c r="T85" s="223">
        <v>0</v>
      </c>
      <c r="U85" s="223">
        <v>0</v>
      </c>
      <c r="V85" s="223">
        <v>0</v>
      </c>
      <c r="W85" s="223">
        <v>0</v>
      </c>
      <c r="X85" s="223">
        <v>1</v>
      </c>
      <c r="Y85" s="223">
        <v>1</v>
      </c>
      <c r="Z85" s="223">
        <v>0</v>
      </c>
      <c r="AA85" s="223">
        <v>1</v>
      </c>
      <c r="AB85" s="223">
        <v>0</v>
      </c>
      <c r="AC85" s="223"/>
      <c r="AD85" s="223"/>
      <c r="AE85" s="223"/>
      <c r="AF85" s="223"/>
      <c r="AG85" s="223"/>
      <c r="AH85" s="223"/>
      <c r="AI85" s="223"/>
      <c r="AJ85" s="223"/>
      <c r="AK85" s="223"/>
      <c r="AL85" s="223"/>
      <c r="AM85" s="223"/>
      <c r="AN85" s="223"/>
      <c r="AO85" s="223"/>
      <c r="AP85" s="223"/>
      <c r="AQ85" s="223"/>
      <c r="AR85" s="223"/>
      <c r="AS85" s="223"/>
      <c r="AT85" s="223"/>
      <c r="AU85" s="223"/>
      <c r="AV85" s="223"/>
      <c r="AW85" s="223"/>
      <c r="AX85" s="223"/>
      <c r="AY85" s="223"/>
      <c r="AZ85" s="223"/>
      <c r="BA85" s="223"/>
      <c r="BB85" s="223"/>
      <c r="BC85" s="223"/>
      <c r="BD85" s="223"/>
      <c r="BE85" s="223"/>
      <c r="BF85" s="223"/>
      <c r="BG85" s="223"/>
      <c r="BH85" s="223"/>
      <c r="BI85" s="223"/>
      <c r="BJ85" s="223"/>
      <c r="BK85" s="223"/>
      <c r="BL85" s="223"/>
      <c r="BM85" s="223"/>
      <c r="BN85" s="223"/>
      <c r="BO85" s="185"/>
      <c r="BP85" s="185"/>
      <c r="BQ85" s="185"/>
      <c r="BR85" s="185"/>
      <c r="BS85" s="185"/>
    </row>
    <row r="86" spans="1:71" x14ac:dyDescent="0.2">
      <c r="A86" s="174" t="s">
        <v>900</v>
      </c>
      <c r="B86" s="174" t="s">
        <v>951</v>
      </c>
      <c r="C86" s="174">
        <v>6</v>
      </c>
      <c r="D86" s="204">
        <v>48.071655527555592</v>
      </c>
      <c r="E86" s="204">
        <v>1.2210200503999147</v>
      </c>
      <c r="G86" s="185">
        <v>52</v>
      </c>
      <c r="H86" s="223">
        <v>0</v>
      </c>
      <c r="I86" s="223">
        <v>0</v>
      </c>
      <c r="J86" s="223">
        <v>1</v>
      </c>
      <c r="K86" s="223">
        <v>0</v>
      </c>
      <c r="L86" s="223">
        <v>0</v>
      </c>
      <c r="M86" s="223">
        <v>0</v>
      </c>
      <c r="N86" s="223">
        <v>0</v>
      </c>
      <c r="O86" s="223">
        <v>0</v>
      </c>
      <c r="P86" s="223">
        <v>0</v>
      </c>
      <c r="Q86" s="223">
        <v>1</v>
      </c>
      <c r="R86" s="223">
        <v>0</v>
      </c>
      <c r="S86" s="223">
        <v>0</v>
      </c>
      <c r="T86" s="223">
        <v>0</v>
      </c>
      <c r="U86" s="223">
        <v>0</v>
      </c>
      <c r="V86" s="223">
        <v>0</v>
      </c>
      <c r="W86" s="223">
        <v>0</v>
      </c>
      <c r="X86" s="223">
        <v>1</v>
      </c>
      <c r="Y86" s="223">
        <v>1</v>
      </c>
      <c r="Z86" s="223">
        <v>0</v>
      </c>
      <c r="AA86" s="223">
        <v>1</v>
      </c>
      <c r="AB86" s="223">
        <v>0</v>
      </c>
      <c r="AC86" s="223"/>
      <c r="AD86" s="223"/>
      <c r="AE86" s="223"/>
      <c r="AF86" s="223"/>
      <c r="AG86" s="223"/>
      <c r="AH86" s="223"/>
      <c r="AI86" s="223"/>
      <c r="AJ86" s="223"/>
      <c r="AK86" s="223"/>
      <c r="AL86" s="223"/>
      <c r="AM86" s="223"/>
      <c r="AN86" s="223"/>
      <c r="AO86" s="223"/>
      <c r="AP86" s="223"/>
      <c r="AQ86" s="223"/>
      <c r="AR86" s="223"/>
      <c r="AS86" s="223"/>
      <c r="AT86" s="223"/>
      <c r="AU86" s="223"/>
      <c r="AV86" s="223"/>
      <c r="AW86" s="223"/>
      <c r="AX86" s="223"/>
      <c r="AY86" s="223"/>
      <c r="AZ86" s="223"/>
      <c r="BA86" s="223"/>
      <c r="BB86" s="223"/>
      <c r="BC86" s="223"/>
      <c r="BD86" s="223"/>
      <c r="BE86" s="223"/>
      <c r="BF86" s="223"/>
      <c r="BG86" s="223"/>
      <c r="BH86" s="223"/>
      <c r="BI86" s="223"/>
      <c r="BJ86" s="223"/>
      <c r="BK86" s="223"/>
      <c r="BL86" s="223"/>
      <c r="BM86" s="223"/>
      <c r="BN86" s="223"/>
      <c r="BO86" s="185"/>
      <c r="BP86" s="185"/>
      <c r="BQ86" s="185"/>
      <c r="BR86" s="185"/>
      <c r="BS86" s="185"/>
    </row>
    <row r="87" spans="1:71" x14ac:dyDescent="0.2">
      <c r="A87" s="174" t="s">
        <v>907</v>
      </c>
      <c r="B87" s="174" t="s">
        <v>974</v>
      </c>
      <c r="C87" s="174">
        <v>7</v>
      </c>
      <c r="D87" s="204">
        <v>36.764705882352935</v>
      </c>
      <c r="E87" s="204">
        <v>0.93382352941176805</v>
      </c>
      <c r="G87" s="185">
        <v>53</v>
      </c>
      <c r="H87" s="223">
        <v>0</v>
      </c>
      <c r="I87" s="223">
        <v>0</v>
      </c>
      <c r="J87" s="223">
        <v>1</v>
      </c>
      <c r="K87" s="223">
        <v>0</v>
      </c>
      <c r="L87" s="223">
        <v>0</v>
      </c>
      <c r="M87" s="223">
        <v>0</v>
      </c>
      <c r="N87" s="223">
        <v>0</v>
      </c>
      <c r="O87" s="223">
        <v>0</v>
      </c>
      <c r="P87" s="223">
        <v>0</v>
      </c>
      <c r="Q87" s="223">
        <v>1</v>
      </c>
      <c r="R87" s="223">
        <v>0</v>
      </c>
      <c r="S87" s="223">
        <v>0</v>
      </c>
      <c r="T87" s="223">
        <v>0</v>
      </c>
      <c r="U87" s="223">
        <v>0</v>
      </c>
      <c r="V87" s="223">
        <v>0</v>
      </c>
      <c r="W87" s="223">
        <v>0</v>
      </c>
      <c r="X87" s="223">
        <v>1</v>
      </c>
      <c r="Y87" s="223">
        <v>1</v>
      </c>
      <c r="Z87" s="223">
        <v>0</v>
      </c>
      <c r="AA87" s="223">
        <v>1</v>
      </c>
      <c r="AB87" s="223">
        <v>0</v>
      </c>
      <c r="AC87" s="223"/>
      <c r="AD87" s="223"/>
      <c r="AE87" s="223"/>
      <c r="AF87" s="223"/>
      <c r="AG87" s="223"/>
      <c r="AH87" s="223"/>
      <c r="AI87" s="223"/>
      <c r="AJ87" s="223"/>
      <c r="AK87" s="223"/>
      <c r="AL87" s="223"/>
      <c r="AM87" s="223"/>
      <c r="AN87" s="223"/>
      <c r="AO87" s="223"/>
      <c r="AP87" s="223"/>
      <c r="AQ87" s="223"/>
      <c r="AR87" s="223"/>
      <c r="AS87" s="223"/>
      <c r="AT87" s="223"/>
      <c r="AU87" s="223"/>
      <c r="AV87" s="223"/>
      <c r="AW87" s="223"/>
      <c r="AX87" s="223"/>
      <c r="AY87" s="223"/>
      <c r="AZ87" s="223"/>
      <c r="BA87" s="223"/>
      <c r="BB87" s="223"/>
      <c r="BC87" s="223"/>
      <c r="BD87" s="223"/>
      <c r="BE87" s="223"/>
      <c r="BF87" s="223"/>
      <c r="BG87" s="223"/>
      <c r="BH87" s="223"/>
      <c r="BI87" s="223"/>
      <c r="BJ87" s="223"/>
      <c r="BK87" s="223"/>
      <c r="BL87" s="223"/>
      <c r="BM87" s="223"/>
      <c r="BN87" s="223"/>
      <c r="BO87" s="185"/>
      <c r="BP87" s="185"/>
      <c r="BQ87" s="185"/>
      <c r="BR87" s="185"/>
      <c r="BS87" s="185"/>
    </row>
    <row r="88" spans="1:71" x14ac:dyDescent="0.2">
      <c r="A88" s="174" t="s">
        <v>1011</v>
      </c>
      <c r="B88" s="174" t="s">
        <v>981</v>
      </c>
      <c r="C88" s="174">
        <v>11</v>
      </c>
      <c r="D88" s="204">
        <v>115.90909090909088</v>
      </c>
      <c r="E88" s="204">
        <v>2.9440909090908463</v>
      </c>
      <c r="G88" s="185">
        <v>54</v>
      </c>
      <c r="H88" s="223">
        <v>0</v>
      </c>
      <c r="I88" s="223">
        <v>0</v>
      </c>
      <c r="J88" s="223">
        <v>1</v>
      </c>
      <c r="K88" s="223">
        <v>0</v>
      </c>
      <c r="L88" s="223">
        <v>0</v>
      </c>
      <c r="M88" s="223">
        <v>0</v>
      </c>
      <c r="N88" s="223">
        <v>0</v>
      </c>
      <c r="O88" s="223">
        <v>0</v>
      </c>
      <c r="P88" s="223">
        <v>0</v>
      </c>
      <c r="Q88" s="223">
        <v>1</v>
      </c>
      <c r="R88" s="223">
        <v>0</v>
      </c>
      <c r="S88" s="223">
        <v>0</v>
      </c>
      <c r="T88" s="223">
        <v>0</v>
      </c>
      <c r="U88" s="223">
        <v>0</v>
      </c>
      <c r="V88" s="223">
        <v>0</v>
      </c>
      <c r="W88" s="223">
        <v>0</v>
      </c>
      <c r="X88" s="223">
        <v>1</v>
      </c>
      <c r="Y88" s="223">
        <v>1</v>
      </c>
      <c r="Z88" s="223">
        <v>0</v>
      </c>
      <c r="AA88" s="223">
        <v>1</v>
      </c>
      <c r="AB88" s="223">
        <v>0</v>
      </c>
      <c r="AC88" s="223"/>
      <c r="AD88" s="223"/>
      <c r="AE88" s="223"/>
      <c r="AF88" s="223"/>
      <c r="AG88" s="223"/>
      <c r="AH88" s="223"/>
      <c r="AI88" s="223"/>
      <c r="AJ88" s="223"/>
      <c r="AK88" s="223"/>
      <c r="AL88" s="223"/>
      <c r="AM88" s="223"/>
      <c r="AN88" s="223"/>
      <c r="AO88" s="223"/>
      <c r="AP88" s="223"/>
      <c r="AQ88" s="223"/>
      <c r="AR88" s="223"/>
      <c r="AS88" s="223"/>
      <c r="AT88" s="223"/>
      <c r="AU88" s="223"/>
      <c r="AV88" s="223"/>
      <c r="AW88" s="223"/>
      <c r="AX88" s="223"/>
      <c r="AY88" s="223"/>
      <c r="AZ88" s="223"/>
      <c r="BA88" s="223"/>
      <c r="BB88" s="223"/>
      <c r="BC88" s="223"/>
      <c r="BD88" s="223"/>
      <c r="BE88" s="223"/>
      <c r="BF88" s="223"/>
      <c r="BG88" s="223"/>
      <c r="BH88" s="223"/>
      <c r="BI88" s="223"/>
      <c r="BJ88" s="223"/>
      <c r="BK88" s="223"/>
      <c r="BL88" s="223"/>
      <c r="BM88" s="223"/>
      <c r="BN88" s="223"/>
      <c r="BO88" s="185"/>
      <c r="BP88" s="185"/>
      <c r="BQ88" s="185"/>
      <c r="BR88" s="185"/>
      <c r="BS88" s="185"/>
    </row>
    <row r="89" spans="1:71" x14ac:dyDescent="0.2">
      <c r="A89" s="174" t="s">
        <v>936</v>
      </c>
      <c r="B89" s="174" t="s">
        <v>948</v>
      </c>
      <c r="C89" s="174">
        <v>9</v>
      </c>
      <c r="D89" s="204">
        <v>51.566997121842014</v>
      </c>
      <c r="E89" s="204">
        <v>1.3098017268947899</v>
      </c>
      <c r="G89" s="185">
        <v>55</v>
      </c>
      <c r="H89" s="223">
        <v>1</v>
      </c>
      <c r="I89" s="223">
        <v>0</v>
      </c>
      <c r="J89" s="223">
        <v>1</v>
      </c>
      <c r="K89" s="223">
        <v>0</v>
      </c>
      <c r="L89" s="223">
        <v>0</v>
      </c>
      <c r="M89" s="223">
        <v>0</v>
      </c>
      <c r="N89" s="223">
        <v>0</v>
      </c>
      <c r="O89" s="223">
        <v>0</v>
      </c>
      <c r="P89" s="223">
        <v>0</v>
      </c>
      <c r="Q89" s="223">
        <v>1</v>
      </c>
      <c r="R89" s="223">
        <v>0</v>
      </c>
      <c r="S89" s="223">
        <v>0</v>
      </c>
      <c r="T89" s="223">
        <v>0</v>
      </c>
      <c r="U89" s="223">
        <v>0</v>
      </c>
      <c r="V89" s="223">
        <v>0</v>
      </c>
      <c r="W89" s="223">
        <v>0</v>
      </c>
      <c r="X89" s="223">
        <v>1</v>
      </c>
      <c r="Y89" s="223">
        <v>1</v>
      </c>
      <c r="Z89" s="223">
        <v>0</v>
      </c>
      <c r="AA89" s="223">
        <v>1</v>
      </c>
      <c r="AB89" s="223">
        <v>0</v>
      </c>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3"/>
      <c r="BA89" s="223"/>
      <c r="BB89" s="223"/>
      <c r="BC89" s="223"/>
      <c r="BD89" s="223"/>
      <c r="BE89" s="223"/>
      <c r="BF89" s="223"/>
      <c r="BG89" s="223"/>
      <c r="BH89" s="223"/>
      <c r="BI89" s="223"/>
      <c r="BJ89" s="223"/>
      <c r="BK89" s="223"/>
      <c r="BL89" s="223"/>
      <c r="BM89" s="223"/>
      <c r="BN89" s="223"/>
      <c r="BO89" s="185"/>
      <c r="BP89" s="185"/>
      <c r="BQ89" s="185"/>
      <c r="BR89" s="185"/>
      <c r="BS89" s="185"/>
    </row>
    <row r="90" spans="1:71" x14ac:dyDescent="0.2">
      <c r="A90" s="174" t="s">
        <v>900</v>
      </c>
      <c r="B90" s="174" t="s">
        <v>955</v>
      </c>
      <c r="C90" s="174">
        <v>6</v>
      </c>
      <c r="D90" s="204">
        <v>48.071655527555592</v>
      </c>
      <c r="E90" s="204">
        <v>1.2210200503999147</v>
      </c>
      <c r="G90" s="185">
        <v>56</v>
      </c>
      <c r="H90" s="223">
        <v>1</v>
      </c>
      <c r="I90" s="223">
        <v>0</v>
      </c>
      <c r="J90" s="223">
        <v>1</v>
      </c>
      <c r="K90" s="223">
        <v>1</v>
      </c>
      <c r="L90" s="223">
        <v>1</v>
      </c>
      <c r="M90" s="223">
        <v>1</v>
      </c>
      <c r="N90" s="223">
        <v>1</v>
      </c>
      <c r="O90" s="223">
        <v>1</v>
      </c>
      <c r="P90" s="223">
        <v>1</v>
      </c>
      <c r="Q90" s="223">
        <v>1</v>
      </c>
      <c r="R90" s="223">
        <v>1</v>
      </c>
      <c r="S90" s="223">
        <v>1</v>
      </c>
      <c r="T90" s="223">
        <v>1</v>
      </c>
      <c r="U90" s="223">
        <v>0</v>
      </c>
      <c r="V90" s="223">
        <v>0</v>
      </c>
      <c r="W90" s="223">
        <v>0</v>
      </c>
      <c r="X90" s="223">
        <v>1</v>
      </c>
      <c r="Y90" s="223">
        <v>1</v>
      </c>
      <c r="Z90" s="223">
        <v>1</v>
      </c>
      <c r="AA90" s="223">
        <v>1</v>
      </c>
      <c r="AB90" s="223">
        <v>1</v>
      </c>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3"/>
      <c r="BA90" s="223"/>
      <c r="BB90" s="223"/>
      <c r="BC90" s="223"/>
      <c r="BD90" s="223"/>
      <c r="BE90" s="223"/>
      <c r="BF90" s="223"/>
      <c r="BG90" s="223"/>
      <c r="BH90" s="223"/>
      <c r="BI90" s="223"/>
      <c r="BJ90" s="223"/>
      <c r="BK90" s="223"/>
      <c r="BL90" s="223"/>
      <c r="BM90" s="223"/>
      <c r="BN90" s="223"/>
      <c r="BO90" s="185"/>
      <c r="BP90" s="185"/>
      <c r="BQ90" s="185"/>
      <c r="BR90" s="185"/>
      <c r="BS90" s="185"/>
    </row>
    <row r="91" spans="1:71" x14ac:dyDescent="0.2">
      <c r="A91" s="174" t="s">
        <v>1024</v>
      </c>
      <c r="B91" s="174" t="s">
        <v>940</v>
      </c>
      <c r="C91" s="174">
        <v>5</v>
      </c>
      <c r="D91" s="204">
        <v>41.049030786773088</v>
      </c>
      <c r="E91" s="204">
        <v>1.0426453819840447</v>
      </c>
      <c r="G91" s="185">
        <v>57</v>
      </c>
      <c r="H91" s="223">
        <v>1</v>
      </c>
      <c r="I91" s="223">
        <v>0</v>
      </c>
      <c r="J91" s="223">
        <v>1</v>
      </c>
      <c r="K91" s="223">
        <v>1</v>
      </c>
      <c r="L91" s="223">
        <v>1</v>
      </c>
      <c r="M91" s="223">
        <v>1</v>
      </c>
      <c r="N91" s="223">
        <v>1</v>
      </c>
      <c r="O91" s="223">
        <v>1</v>
      </c>
      <c r="P91" s="223">
        <v>1</v>
      </c>
      <c r="Q91" s="223">
        <v>1</v>
      </c>
      <c r="R91" s="223">
        <v>1</v>
      </c>
      <c r="S91" s="223">
        <v>1</v>
      </c>
      <c r="T91" s="223">
        <v>1</v>
      </c>
      <c r="U91" s="223">
        <v>0</v>
      </c>
      <c r="V91" s="223">
        <v>0</v>
      </c>
      <c r="W91" s="223">
        <v>0</v>
      </c>
      <c r="X91" s="223">
        <v>1</v>
      </c>
      <c r="Y91" s="223">
        <v>1</v>
      </c>
      <c r="Z91" s="223">
        <v>1</v>
      </c>
      <c r="AA91" s="223">
        <v>1</v>
      </c>
      <c r="AB91" s="223">
        <v>1</v>
      </c>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3"/>
      <c r="BA91" s="223"/>
      <c r="BB91" s="223"/>
      <c r="BC91" s="223"/>
      <c r="BD91" s="223"/>
      <c r="BE91" s="223"/>
      <c r="BF91" s="223"/>
      <c r="BG91" s="223"/>
      <c r="BH91" s="223"/>
      <c r="BI91" s="223"/>
      <c r="BJ91" s="223"/>
      <c r="BK91" s="223"/>
      <c r="BL91" s="223"/>
      <c r="BM91" s="223"/>
      <c r="BN91" s="223"/>
      <c r="BO91" s="185"/>
      <c r="BP91" s="185"/>
      <c r="BQ91" s="185"/>
      <c r="BR91" s="185"/>
      <c r="BS91" s="185"/>
    </row>
    <row r="92" spans="1:71" x14ac:dyDescent="0.2">
      <c r="A92" s="174" t="s">
        <v>907</v>
      </c>
      <c r="B92" s="174" t="s">
        <v>972</v>
      </c>
      <c r="C92" s="174">
        <v>7</v>
      </c>
      <c r="D92" s="204">
        <v>36.764705882352935</v>
      </c>
      <c r="E92" s="204">
        <v>0.93382352941176805</v>
      </c>
      <c r="G92" s="185">
        <v>58</v>
      </c>
      <c r="H92" s="223">
        <v>1</v>
      </c>
      <c r="I92" s="223">
        <v>0</v>
      </c>
      <c r="J92" s="223">
        <v>1</v>
      </c>
      <c r="K92" s="223">
        <v>1</v>
      </c>
      <c r="L92" s="223">
        <v>1</v>
      </c>
      <c r="M92" s="223">
        <v>1</v>
      </c>
      <c r="N92" s="223">
        <v>1</v>
      </c>
      <c r="O92" s="223">
        <v>1</v>
      </c>
      <c r="P92" s="223">
        <v>1</v>
      </c>
      <c r="Q92" s="223">
        <v>1</v>
      </c>
      <c r="R92" s="223">
        <v>1</v>
      </c>
      <c r="S92" s="223">
        <v>1</v>
      </c>
      <c r="T92" s="223">
        <v>1</v>
      </c>
      <c r="U92" s="223">
        <v>0</v>
      </c>
      <c r="V92" s="223">
        <v>0</v>
      </c>
      <c r="W92" s="223">
        <v>0</v>
      </c>
      <c r="X92" s="223">
        <v>1</v>
      </c>
      <c r="Y92" s="223">
        <v>1</v>
      </c>
      <c r="Z92" s="223">
        <v>1</v>
      </c>
      <c r="AA92" s="223">
        <v>1</v>
      </c>
      <c r="AB92" s="223">
        <v>1</v>
      </c>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3"/>
      <c r="BA92" s="223"/>
      <c r="BB92" s="223"/>
      <c r="BC92" s="223"/>
      <c r="BD92" s="223"/>
      <c r="BE92" s="223"/>
      <c r="BF92" s="223"/>
      <c r="BG92" s="223"/>
      <c r="BH92" s="223"/>
      <c r="BI92" s="223"/>
      <c r="BJ92" s="223"/>
      <c r="BK92" s="223"/>
      <c r="BL92" s="223"/>
      <c r="BM92" s="223"/>
      <c r="BN92" s="223"/>
      <c r="BO92" s="185"/>
      <c r="BP92" s="185"/>
      <c r="BQ92" s="185"/>
      <c r="BR92" s="185"/>
      <c r="BS92" s="185"/>
    </row>
    <row r="93" spans="1:71" x14ac:dyDescent="0.2">
      <c r="A93" s="174" t="s">
        <v>4173</v>
      </c>
      <c r="B93" s="174" t="s">
        <v>4173</v>
      </c>
      <c r="C93" s="174">
        <v>16</v>
      </c>
      <c r="D93" s="204">
        <v>37.499999999999993</v>
      </c>
      <c r="E93" s="204">
        <v>0.95250000000000035</v>
      </c>
      <c r="G93" s="185">
        <v>59</v>
      </c>
      <c r="H93" s="223">
        <v>1</v>
      </c>
      <c r="I93" s="223">
        <v>0</v>
      </c>
      <c r="J93" s="223">
        <v>1</v>
      </c>
      <c r="K93" s="223">
        <v>1</v>
      </c>
      <c r="L93" s="223">
        <v>1</v>
      </c>
      <c r="M93" s="223">
        <v>1</v>
      </c>
      <c r="N93" s="223">
        <v>1</v>
      </c>
      <c r="O93" s="223">
        <v>1</v>
      </c>
      <c r="P93" s="223">
        <v>1</v>
      </c>
      <c r="Q93" s="223">
        <v>1</v>
      </c>
      <c r="R93" s="223">
        <v>1</v>
      </c>
      <c r="S93" s="223">
        <v>1</v>
      </c>
      <c r="T93" s="223">
        <v>1</v>
      </c>
      <c r="U93" s="223">
        <v>0</v>
      </c>
      <c r="V93" s="223">
        <v>0</v>
      </c>
      <c r="W93" s="223">
        <v>0</v>
      </c>
      <c r="X93" s="223">
        <v>1</v>
      </c>
      <c r="Y93" s="223">
        <v>1</v>
      </c>
      <c r="Z93" s="223">
        <v>1</v>
      </c>
      <c r="AA93" s="223">
        <v>1</v>
      </c>
      <c r="AB93" s="223">
        <v>1</v>
      </c>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3"/>
      <c r="BA93" s="223"/>
      <c r="BB93" s="223"/>
      <c r="BC93" s="223"/>
      <c r="BD93" s="223"/>
      <c r="BE93" s="223"/>
      <c r="BF93" s="223"/>
      <c r="BG93" s="223"/>
      <c r="BH93" s="223"/>
      <c r="BI93" s="223"/>
      <c r="BJ93" s="223"/>
      <c r="BK93" s="223"/>
      <c r="BL93" s="223"/>
      <c r="BM93" s="223"/>
      <c r="BN93" s="223"/>
      <c r="BO93" s="185"/>
      <c r="BP93" s="185"/>
      <c r="BQ93" s="185"/>
      <c r="BR93" s="185"/>
      <c r="BS93" s="185"/>
    </row>
    <row r="94" spans="1:71" x14ac:dyDescent="0.2">
      <c r="A94" s="174" t="s">
        <v>4172</v>
      </c>
      <c r="B94" s="174" t="s">
        <v>4172</v>
      </c>
      <c r="C94" s="174">
        <v>15</v>
      </c>
      <c r="D94" s="204">
        <v>44.369486248053967</v>
      </c>
      <c r="E94" s="204">
        <v>1.1269849507005745</v>
      </c>
      <c r="G94" s="185">
        <v>60</v>
      </c>
      <c r="H94" s="223">
        <v>1</v>
      </c>
      <c r="I94" s="223">
        <v>0</v>
      </c>
      <c r="J94" s="223">
        <v>1</v>
      </c>
      <c r="K94" s="223">
        <v>1</v>
      </c>
      <c r="L94" s="223">
        <v>1</v>
      </c>
      <c r="M94" s="223">
        <v>1</v>
      </c>
      <c r="N94" s="223">
        <v>1</v>
      </c>
      <c r="O94" s="223">
        <v>1</v>
      </c>
      <c r="P94" s="223">
        <v>1</v>
      </c>
      <c r="Q94" s="223">
        <v>1</v>
      </c>
      <c r="R94" s="223">
        <v>1</v>
      </c>
      <c r="S94" s="223">
        <v>1</v>
      </c>
      <c r="T94" s="223">
        <v>1</v>
      </c>
      <c r="U94" s="223">
        <v>0</v>
      </c>
      <c r="V94" s="223">
        <v>0</v>
      </c>
      <c r="W94" s="223">
        <v>0</v>
      </c>
      <c r="X94" s="223">
        <v>1</v>
      </c>
      <c r="Y94" s="223">
        <v>1</v>
      </c>
      <c r="Z94" s="223">
        <v>1</v>
      </c>
      <c r="AA94" s="223">
        <v>1</v>
      </c>
      <c r="AB94" s="223">
        <v>1</v>
      </c>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3"/>
      <c r="BA94" s="223"/>
      <c r="BB94" s="223"/>
      <c r="BC94" s="223"/>
      <c r="BD94" s="223"/>
      <c r="BE94" s="223"/>
      <c r="BF94" s="223"/>
      <c r="BG94" s="223"/>
      <c r="BH94" s="223"/>
      <c r="BI94" s="223"/>
      <c r="BJ94" s="223"/>
      <c r="BK94" s="223"/>
      <c r="BL94" s="223"/>
      <c r="BM94" s="223"/>
      <c r="BN94" s="223"/>
      <c r="BO94" s="185"/>
      <c r="BP94" s="185"/>
      <c r="BQ94" s="185"/>
      <c r="BR94" s="185"/>
      <c r="BS94" s="185"/>
    </row>
    <row r="95" spans="1:71" x14ac:dyDescent="0.2">
      <c r="A95" s="174" t="s">
        <v>1011</v>
      </c>
      <c r="B95" s="174" t="s">
        <v>979</v>
      </c>
      <c r="C95" s="174">
        <v>11</v>
      </c>
      <c r="D95" s="204">
        <v>115.90909090909088</v>
      </c>
      <c r="E95" s="204">
        <v>2.9440909090908463</v>
      </c>
      <c r="G95" s="185">
        <v>61</v>
      </c>
      <c r="H95" s="223">
        <v>1</v>
      </c>
      <c r="I95" s="223">
        <v>0</v>
      </c>
      <c r="J95" s="223">
        <v>1</v>
      </c>
      <c r="K95" s="223">
        <v>1</v>
      </c>
      <c r="L95" s="223">
        <v>1</v>
      </c>
      <c r="M95" s="223">
        <v>1</v>
      </c>
      <c r="N95" s="223">
        <v>1</v>
      </c>
      <c r="O95" s="223">
        <v>1</v>
      </c>
      <c r="P95" s="223">
        <v>1</v>
      </c>
      <c r="Q95" s="223">
        <v>2</v>
      </c>
      <c r="R95" s="223">
        <v>1</v>
      </c>
      <c r="S95" s="223">
        <v>1</v>
      </c>
      <c r="T95" s="223">
        <v>1</v>
      </c>
      <c r="U95" s="223">
        <v>0</v>
      </c>
      <c r="V95" s="223">
        <v>0</v>
      </c>
      <c r="W95" s="223">
        <v>0</v>
      </c>
      <c r="X95" s="223">
        <v>1</v>
      </c>
      <c r="Y95" s="223">
        <v>1</v>
      </c>
      <c r="Z95" s="223">
        <v>1</v>
      </c>
      <c r="AA95" s="223">
        <v>2</v>
      </c>
      <c r="AB95" s="223">
        <v>1</v>
      </c>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3"/>
      <c r="BA95" s="223"/>
      <c r="BB95" s="223"/>
      <c r="BC95" s="223"/>
      <c r="BD95" s="223"/>
      <c r="BE95" s="223"/>
      <c r="BF95" s="223"/>
      <c r="BG95" s="223"/>
      <c r="BH95" s="223"/>
      <c r="BI95" s="223"/>
      <c r="BJ95" s="223"/>
      <c r="BK95" s="223"/>
      <c r="BL95" s="223"/>
      <c r="BM95" s="223"/>
      <c r="BN95" s="223"/>
      <c r="BO95" s="185"/>
      <c r="BP95" s="185"/>
      <c r="BQ95" s="185"/>
      <c r="BR95" s="185"/>
      <c r="BS95" s="185"/>
    </row>
    <row r="96" spans="1:71" x14ac:dyDescent="0.2">
      <c r="A96" s="174" t="s">
        <v>1011</v>
      </c>
      <c r="B96" s="174" t="s">
        <v>983</v>
      </c>
      <c r="C96" s="174">
        <v>11</v>
      </c>
      <c r="D96" s="204">
        <v>115.90909090909088</v>
      </c>
      <c r="E96" s="204">
        <v>2.9440909090908463</v>
      </c>
      <c r="G96" s="185">
        <v>62</v>
      </c>
      <c r="H96" s="223">
        <v>1</v>
      </c>
      <c r="I96" s="223">
        <v>0</v>
      </c>
      <c r="J96" s="223">
        <v>1</v>
      </c>
      <c r="K96" s="223">
        <v>1</v>
      </c>
      <c r="L96" s="223">
        <v>1</v>
      </c>
      <c r="M96" s="223">
        <v>1</v>
      </c>
      <c r="N96" s="223">
        <v>1</v>
      </c>
      <c r="O96" s="223">
        <v>1</v>
      </c>
      <c r="P96" s="223">
        <v>1</v>
      </c>
      <c r="Q96" s="223">
        <v>2</v>
      </c>
      <c r="R96" s="223">
        <v>1</v>
      </c>
      <c r="S96" s="223">
        <v>1</v>
      </c>
      <c r="T96" s="223">
        <v>1</v>
      </c>
      <c r="U96" s="223">
        <v>0</v>
      </c>
      <c r="V96" s="223">
        <v>0</v>
      </c>
      <c r="W96" s="223">
        <v>0</v>
      </c>
      <c r="X96" s="223">
        <v>1</v>
      </c>
      <c r="Y96" s="223">
        <v>1</v>
      </c>
      <c r="Z96" s="223">
        <v>1</v>
      </c>
      <c r="AA96" s="223">
        <v>2</v>
      </c>
      <c r="AB96" s="223">
        <v>1</v>
      </c>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3"/>
      <c r="BA96" s="223"/>
      <c r="BB96" s="223"/>
      <c r="BC96" s="223"/>
      <c r="BD96" s="223"/>
      <c r="BE96" s="223"/>
      <c r="BF96" s="223"/>
      <c r="BG96" s="223"/>
      <c r="BH96" s="223"/>
      <c r="BI96" s="223"/>
      <c r="BJ96" s="223"/>
      <c r="BK96" s="223"/>
      <c r="BL96" s="223"/>
      <c r="BM96" s="223"/>
      <c r="BN96" s="223"/>
      <c r="BO96" s="185"/>
      <c r="BP96" s="185"/>
      <c r="BQ96" s="185"/>
      <c r="BR96" s="185"/>
      <c r="BS96" s="185"/>
    </row>
    <row r="97" spans="1:71" x14ac:dyDescent="0.2">
      <c r="A97" s="174" t="s">
        <v>1049</v>
      </c>
      <c r="B97" s="174" t="s">
        <v>961</v>
      </c>
      <c r="C97" s="174">
        <v>18</v>
      </c>
      <c r="D97" s="204">
        <v>27.556132863239931</v>
      </c>
      <c r="E97" s="204">
        <v>0.69992577472629602</v>
      </c>
      <c r="G97" s="185">
        <v>63</v>
      </c>
      <c r="H97" s="223">
        <v>1</v>
      </c>
      <c r="I97" s="223">
        <v>0</v>
      </c>
      <c r="J97" s="223">
        <v>1</v>
      </c>
      <c r="K97" s="223">
        <v>1</v>
      </c>
      <c r="L97" s="223">
        <v>1</v>
      </c>
      <c r="M97" s="223">
        <v>1</v>
      </c>
      <c r="N97" s="223">
        <v>1</v>
      </c>
      <c r="O97" s="223">
        <v>1</v>
      </c>
      <c r="P97" s="223">
        <v>1</v>
      </c>
      <c r="Q97" s="223">
        <v>2</v>
      </c>
      <c r="R97" s="223">
        <v>1</v>
      </c>
      <c r="S97" s="223">
        <v>1</v>
      </c>
      <c r="T97" s="223">
        <v>1</v>
      </c>
      <c r="U97" s="223">
        <v>0</v>
      </c>
      <c r="V97" s="223">
        <v>0</v>
      </c>
      <c r="W97" s="223">
        <v>0</v>
      </c>
      <c r="X97" s="223">
        <v>1</v>
      </c>
      <c r="Y97" s="223">
        <v>1</v>
      </c>
      <c r="Z97" s="223">
        <v>1</v>
      </c>
      <c r="AA97" s="223">
        <v>2</v>
      </c>
      <c r="AB97" s="223">
        <v>1</v>
      </c>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3"/>
      <c r="BA97" s="223"/>
      <c r="BB97" s="223"/>
      <c r="BC97" s="223"/>
      <c r="BD97" s="223"/>
      <c r="BE97" s="223"/>
      <c r="BF97" s="223"/>
      <c r="BG97" s="223"/>
      <c r="BH97" s="223"/>
      <c r="BI97" s="223"/>
      <c r="BJ97" s="223"/>
      <c r="BK97" s="223"/>
      <c r="BL97" s="223"/>
      <c r="BM97" s="223"/>
      <c r="BN97" s="223"/>
      <c r="BO97" s="185"/>
      <c r="BP97" s="185"/>
      <c r="BQ97" s="185"/>
      <c r="BR97" s="185"/>
      <c r="BS97" s="185"/>
    </row>
    <row r="98" spans="1:71" x14ac:dyDescent="0.2">
      <c r="A98" s="174" t="s">
        <v>936</v>
      </c>
      <c r="B98" s="174" t="s">
        <v>946</v>
      </c>
      <c r="C98" s="174">
        <v>9</v>
      </c>
      <c r="D98" s="204">
        <v>51.566997121842014</v>
      </c>
      <c r="E98" s="204">
        <v>1.3098017268947899</v>
      </c>
      <c r="G98" s="185">
        <v>64</v>
      </c>
      <c r="H98" s="223">
        <v>1</v>
      </c>
      <c r="I98" s="223">
        <v>0</v>
      </c>
      <c r="J98" s="223">
        <v>1</v>
      </c>
      <c r="K98" s="223">
        <v>1</v>
      </c>
      <c r="L98" s="223">
        <v>1</v>
      </c>
      <c r="M98" s="223">
        <v>1</v>
      </c>
      <c r="N98" s="223">
        <v>1</v>
      </c>
      <c r="O98" s="223">
        <v>1</v>
      </c>
      <c r="P98" s="223">
        <v>1</v>
      </c>
      <c r="Q98" s="223">
        <v>2</v>
      </c>
      <c r="R98" s="223">
        <v>1</v>
      </c>
      <c r="S98" s="223">
        <v>1</v>
      </c>
      <c r="T98" s="223">
        <v>1</v>
      </c>
      <c r="U98" s="223">
        <v>0</v>
      </c>
      <c r="V98" s="223">
        <v>0</v>
      </c>
      <c r="W98" s="223">
        <v>0</v>
      </c>
      <c r="X98" s="223">
        <v>1</v>
      </c>
      <c r="Y98" s="223">
        <v>1</v>
      </c>
      <c r="Z98" s="223">
        <v>1</v>
      </c>
      <c r="AA98" s="223">
        <v>2</v>
      </c>
      <c r="AB98" s="223">
        <v>1</v>
      </c>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3"/>
      <c r="BA98" s="223"/>
      <c r="BB98" s="223"/>
      <c r="BC98" s="223"/>
      <c r="BD98" s="223"/>
      <c r="BE98" s="223"/>
      <c r="BF98" s="223"/>
      <c r="BG98" s="223"/>
      <c r="BH98" s="223"/>
      <c r="BI98" s="223"/>
      <c r="BJ98" s="223"/>
      <c r="BK98" s="223"/>
      <c r="BL98" s="223"/>
      <c r="BM98" s="223"/>
      <c r="BN98" s="223"/>
      <c r="BO98" s="185"/>
      <c r="BP98" s="185"/>
      <c r="BQ98" s="185"/>
      <c r="BR98" s="185"/>
      <c r="BS98" s="185"/>
    </row>
    <row r="99" spans="1:71" x14ac:dyDescent="0.2">
      <c r="A99" s="174" t="s">
        <v>911</v>
      </c>
      <c r="B99" s="174" t="s">
        <v>911</v>
      </c>
      <c r="C99" s="174">
        <v>13</v>
      </c>
      <c r="D99" s="204">
        <v>47.249055018899611</v>
      </c>
      <c r="E99" s="204">
        <v>1.2001259974800575</v>
      </c>
      <c r="G99" s="185">
        <v>65</v>
      </c>
      <c r="H99" s="223">
        <v>1</v>
      </c>
      <c r="I99" s="223">
        <v>0</v>
      </c>
      <c r="J99" s="223">
        <v>1</v>
      </c>
      <c r="K99" s="223">
        <v>1</v>
      </c>
      <c r="L99" s="223">
        <v>1</v>
      </c>
      <c r="M99" s="223">
        <v>1</v>
      </c>
      <c r="N99" s="223">
        <v>1</v>
      </c>
      <c r="O99" s="223">
        <v>1</v>
      </c>
      <c r="P99" s="223">
        <v>1</v>
      </c>
      <c r="Q99" s="223">
        <v>2</v>
      </c>
      <c r="R99" s="223">
        <v>1</v>
      </c>
      <c r="S99" s="223">
        <v>1</v>
      </c>
      <c r="T99" s="223">
        <v>1</v>
      </c>
      <c r="U99" s="223">
        <v>0</v>
      </c>
      <c r="V99" s="223">
        <v>0</v>
      </c>
      <c r="W99" s="223">
        <v>0</v>
      </c>
      <c r="X99" s="223">
        <v>1</v>
      </c>
      <c r="Y99" s="223">
        <v>1</v>
      </c>
      <c r="Z99" s="223">
        <v>1</v>
      </c>
      <c r="AA99" s="223">
        <v>2</v>
      </c>
      <c r="AB99" s="223">
        <v>1</v>
      </c>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3"/>
      <c r="BA99" s="223"/>
      <c r="BB99" s="223"/>
      <c r="BC99" s="223"/>
      <c r="BD99" s="223"/>
      <c r="BE99" s="223"/>
      <c r="BF99" s="223"/>
      <c r="BG99" s="223"/>
      <c r="BH99" s="223"/>
      <c r="BI99" s="223"/>
      <c r="BJ99" s="223"/>
      <c r="BK99" s="223"/>
      <c r="BL99" s="223"/>
      <c r="BM99" s="223"/>
      <c r="BN99" s="223"/>
      <c r="BO99" s="185"/>
      <c r="BP99" s="185"/>
      <c r="BQ99" s="185"/>
      <c r="BR99" s="185"/>
      <c r="BS99" s="185"/>
    </row>
    <row r="100" spans="1:71" x14ac:dyDescent="0.2">
      <c r="A100" s="174" t="s">
        <v>1024</v>
      </c>
      <c r="B100" s="174" t="s">
        <v>941</v>
      </c>
      <c r="C100" s="174">
        <v>5</v>
      </c>
      <c r="D100" s="204">
        <v>41.049030786773088</v>
      </c>
      <c r="E100" s="204">
        <v>1.0426453819840447</v>
      </c>
      <c r="G100" s="185">
        <v>66</v>
      </c>
      <c r="H100" s="223">
        <v>1</v>
      </c>
      <c r="I100" s="223">
        <v>0</v>
      </c>
      <c r="J100" s="223">
        <v>2</v>
      </c>
      <c r="K100" s="223">
        <v>1</v>
      </c>
      <c r="L100" s="223">
        <v>1</v>
      </c>
      <c r="M100" s="223">
        <v>1</v>
      </c>
      <c r="N100" s="223">
        <v>1</v>
      </c>
      <c r="O100" s="223">
        <v>1</v>
      </c>
      <c r="P100" s="223">
        <v>2</v>
      </c>
      <c r="Q100" s="223">
        <v>2</v>
      </c>
      <c r="R100" s="223">
        <v>1</v>
      </c>
      <c r="S100" s="223">
        <v>1</v>
      </c>
      <c r="T100" s="223">
        <v>1</v>
      </c>
      <c r="U100" s="223">
        <v>0</v>
      </c>
      <c r="V100" s="223">
        <v>0</v>
      </c>
      <c r="W100" s="223">
        <v>0</v>
      </c>
      <c r="X100" s="223">
        <v>2</v>
      </c>
      <c r="Y100" s="223">
        <v>2</v>
      </c>
      <c r="Z100" s="223">
        <v>2</v>
      </c>
      <c r="AA100" s="223">
        <v>2</v>
      </c>
      <c r="AB100" s="223">
        <v>2</v>
      </c>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3"/>
      <c r="BA100" s="223"/>
      <c r="BB100" s="223"/>
      <c r="BC100" s="223"/>
      <c r="BD100" s="223"/>
      <c r="BE100" s="223"/>
      <c r="BF100" s="223"/>
      <c r="BG100" s="223"/>
      <c r="BH100" s="223"/>
      <c r="BI100" s="223"/>
      <c r="BJ100" s="223"/>
      <c r="BK100" s="223"/>
      <c r="BL100" s="223"/>
      <c r="BM100" s="223"/>
      <c r="BN100" s="223"/>
      <c r="BO100" s="185"/>
      <c r="BP100" s="185"/>
      <c r="BQ100" s="185"/>
      <c r="BR100" s="185"/>
      <c r="BS100" s="185"/>
    </row>
    <row r="101" spans="1:71" x14ac:dyDescent="0.2">
      <c r="A101" s="174" t="s">
        <v>936</v>
      </c>
      <c r="B101" s="174" t="s">
        <v>942</v>
      </c>
      <c r="C101" s="174">
        <v>9</v>
      </c>
      <c r="D101" s="204">
        <v>51.566997121842014</v>
      </c>
      <c r="E101" s="204">
        <v>1.3098017268947899</v>
      </c>
      <c r="G101" s="185">
        <v>67</v>
      </c>
      <c r="H101" s="223">
        <v>1</v>
      </c>
      <c r="I101" s="223">
        <v>0</v>
      </c>
      <c r="J101" s="223">
        <v>2</v>
      </c>
      <c r="K101" s="223">
        <v>1</v>
      </c>
      <c r="L101" s="223">
        <v>1</v>
      </c>
      <c r="M101" s="223">
        <v>1</v>
      </c>
      <c r="N101" s="223">
        <v>1</v>
      </c>
      <c r="O101" s="223">
        <v>1</v>
      </c>
      <c r="P101" s="223">
        <v>2</v>
      </c>
      <c r="Q101" s="223">
        <v>2</v>
      </c>
      <c r="R101" s="223">
        <v>1</v>
      </c>
      <c r="S101" s="223">
        <v>1</v>
      </c>
      <c r="T101" s="223">
        <v>1</v>
      </c>
      <c r="U101" s="223">
        <v>0</v>
      </c>
      <c r="V101" s="223">
        <v>0</v>
      </c>
      <c r="W101" s="223">
        <v>0</v>
      </c>
      <c r="X101" s="223">
        <v>2</v>
      </c>
      <c r="Y101" s="223">
        <v>2</v>
      </c>
      <c r="Z101" s="223">
        <v>2</v>
      </c>
      <c r="AA101" s="223">
        <v>2</v>
      </c>
      <c r="AB101" s="223">
        <v>2</v>
      </c>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3"/>
      <c r="BA101" s="223"/>
      <c r="BB101" s="223"/>
      <c r="BC101" s="223"/>
      <c r="BD101" s="223"/>
      <c r="BE101" s="223"/>
      <c r="BF101" s="223"/>
      <c r="BG101" s="223"/>
      <c r="BH101" s="223"/>
      <c r="BI101" s="223"/>
      <c r="BJ101" s="223"/>
      <c r="BK101" s="223"/>
      <c r="BL101" s="223"/>
      <c r="BM101" s="223"/>
      <c r="BN101" s="223"/>
      <c r="BO101" s="185"/>
      <c r="BP101" s="185"/>
      <c r="BQ101" s="185"/>
      <c r="BR101" s="185"/>
      <c r="BS101" s="185"/>
    </row>
    <row r="102" spans="1:71" x14ac:dyDescent="0.2">
      <c r="A102" s="174" t="s">
        <v>1034</v>
      </c>
      <c r="B102" s="174" t="s">
        <v>910</v>
      </c>
      <c r="C102" s="174">
        <v>8</v>
      </c>
      <c r="D102" s="204">
        <v>35.955746773202208</v>
      </c>
      <c r="E102" s="204">
        <v>0.91327596803933642</v>
      </c>
      <c r="G102" s="185">
        <v>68</v>
      </c>
      <c r="H102" s="223">
        <v>1</v>
      </c>
      <c r="I102" s="223">
        <v>0</v>
      </c>
      <c r="J102" s="223">
        <v>2</v>
      </c>
      <c r="K102" s="223">
        <v>2</v>
      </c>
      <c r="L102" s="223">
        <v>2</v>
      </c>
      <c r="M102" s="223">
        <v>2</v>
      </c>
      <c r="N102" s="223">
        <v>2</v>
      </c>
      <c r="O102" s="223">
        <v>2</v>
      </c>
      <c r="P102" s="223">
        <v>2</v>
      </c>
      <c r="Q102" s="223">
        <v>2</v>
      </c>
      <c r="R102" s="223">
        <v>2</v>
      </c>
      <c r="S102" s="223">
        <v>2</v>
      </c>
      <c r="T102" s="223">
        <v>2</v>
      </c>
      <c r="U102" s="223">
        <v>0</v>
      </c>
      <c r="V102" s="223">
        <v>0</v>
      </c>
      <c r="W102" s="223">
        <v>0</v>
      </c>
      <c r="X102" s="223">
        <v>2</v>
      </c>
      <c r="Y102" s="223">
        <v>2</v>
      </c>
      <c r="Z102" s="223">
        <v>2</v>
      </c>
      <c r="AA102" s="223">
        <v>2</v>
      </c>
      <c r="AB102" s="223">
        <v>2</v>
      </c>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3"/>
      <c r="BA102" s="223"/>
      <c r="BB102" s="223"/>
      <c r="BC102" s="223"/>
      <c r="BD102" s="223"/>
      <c r="BE102" s="223"/>
      <c r="BF102" s="223"/>
      <c r="BG102" s="223"/>
      <c r="BH102" s="223"/>
      <c r="BI102" s="223"/>
      <c r="BJ102" s="223"/>
      <c r="BK102" s="223"/>
      <c r="BL102" s="223"/>
      <c r="BM102" s="223"/>
      <c r="BN102" s="223"/>
      <c r="BO102" s="185"/>
      <c r="BP102" s="185"/>
      <c r="BQ102" s="185"/>
      <c r="BR102" s="185"/>
      <c r="BS102" s="185"/>
    </row>
    <row r="103" spans="1:71" x14ac:dyDescent="0.2">
      <c r="A103" s="174" t="s">
        <v>1013</v>
      </c>
      <c r="B103" s="174" t="s">
        <v>1150</v>
      </c>
      <c r="C103" s="174">
        <v>20</v>
      </c>
      <c r="D103" s="204">
        <v>39.488017429193896</v>
      </c>
      <c r="E103" s="204">
        <v>1.002995642701535</v>
      </c>
      <c r="G103" s="185">
        <v>69</v>
      </c>
      <c r="H103" s="223">
        <v>1</v>
      </c>
      <c r="I103" s="223">
        <v>0</v>
      </c>
      <c r="J103" s="223">
        <v>2</v>
      </c>
      <c r="K103" s="223">
        <v>2</v>
      </c>
      <c r="L103" s="223">
        <v>2</v>
      </c>
      <c r="M103" s="223">
        <v>2</v>
      </c>
      <c r="N103" s="223">
        <v>2</v>
      </c>
      <c r="O103" s="223">
        <v>2</v>
      </c>
      <c r="P103" s="223">
        <v>2</v>
      </c>
      <c r="Q103" s="223">
        <v>2</v>
      </c>
      <c r="R103" s="223">
        <v>2</v>
      </c>
      <c r="S103" s="223">
        <v>2</v>
      </c>
      <c r="T103" s="223">
        <v>2</v>
      </c>
      <c r="U103" s="223">
        <v>0</v>
      </c>
      <c r="V103" s="223">
        <v>0</v>
      </c>
      <c r="W103" s="223">
        <v>0</v>
      </c>
      <c r="X103" s="223">
        <v>2</v>
      </c>
      <c r="Y103" s="223">
        <v>2</v>
      </c>
      <c r="Z103" s="223">
        <v>2</v>
      </c>
      <c r="AA103" s="223">
        <v>2</v>
      </c>
      <c r="AB103" s="223">
        <v>2</v>
      </c>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3"/>
      <c r="BA103" s="223"/>
      <c r="BB103" s="223"/>
      <c r="BC103" s="223"/>
      <c r="BD103" s="223"/>
      <c r="BE103" s="223"/>
      <c r="BF103" s="223"/>
      <c r="BG103" s="223"/>
      <c r="BH103" s="223"/>
      <c r="BI103" s="223"/>
      <c r="BJ103" s="223"/>
      <c r="BK103" s="223"/>
      <c r="BL103" s="223"/>
      <c r="BM103" s="223"/>
      <c r="BN103" s="223"/>
      <c r="BO103" s="185"/>
      <c r="BP103" s="185"/>
      <c r="BQ103" s="185"/>
      <c r="BR103" s="185"/>
      <c r="BS103" s="185"/>
    </row>
    <row r="104" spans="1:71" x14ac:dyDescent="0.2">
      <c r="A104" s="174" t="s">
        <v>907</v>
      </c>
      <c r="B104" s="174" t="s">
        <v>966</v>
      </c>
      <c r="C104" s="174">
        <v>5</v>
      </c>
      <c r="D104" s="204">
        <v>41.049030786773088</v>
      </c>
      <c r="E104" s="204">
        <v>1.0426453819840447</v>
      </c>
      <c r="G104" s="185">
        <v>70</v>
      </c>
      <c r="H104" s="223">
        <v>2</v>
      </c>
      <c r="I104" s="223">
        <v>0</v>
      </c>
      <c r="J104" s="223">
        <v>2</v>
      </c>
      <c r="K104" s="223">
        <v>2</v>
      </c>
      <c r="L104" s="223">
        <v>2</v>
      </c>
      <c r="M104" s="223">
        <v>2</v>
      </c>
      <c r="N104" s="223">
        <v>2</v>
      </c>
      <c r="O104" s="223">
        <v>2</v>
      </c>
      <c r="P104" s="223">
        <v>2</v>
      </c>
      <c r="Q104" s="223">
        <v>2</v>
      </c>
      <c r="R104" s="223">
        <v>2</v>
      </c>
      <c r="S104" s="223">
        <v>2</v>
      </c>
      <c r="T104" s="223">
        <v>2</v>
      </c>
      <c r="U104" s="223">
        <v>0</v>
      </c>
      <c r="V104" s="223">
        <v>0</v>
      </c>
      <c r="W104" s="223">
        <v>0</v>
      </c>
      <c r="X104" s="223">
        <v>2</v>
      </c>
      <c r="Y104" s="223">
        <v>2</v>
      </c>
      <c r="Z104" s="223">
        <v>2</v>
      </c>
      <c r="AA104" s="223">
        <v>2</v>
      </c>
      <c r="AB104" s="223">
        <v>2</v>
      </c>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3"/>
      <c r="BA104" s="223"/>
      <c r="BB104" s="223"/>
      <c r="BC104" s="223"/>
      <c r="BD104" s="223"/>
      <c r="BE104" s="223"/>
      <c r="BF104" s="223"/>
      <c r="BG104" s="223"/>
      <c r="BH104" s="223"/>
      <c r="BI104" s="223"/>
      <c r="BJ104" s="223"/>
      <c r="BK104" s="223"/>
      <c r="BL104" s="223"/>
      <c r="BM104" s="223"/>
      <c r="BN104" s="223"/>
      <c r="BO104" s="185"/>
      <c r="BP104" s="185"/>
      <c r="BQ104" s="185"/>
      <c r="BR104" s="185"/>
      <c r="BS104" s="185"/>
    </row>
    <row r="105" spans="1:71" x14ac:dyDescent="0.2">
      <c r="A105" s="174" t="s">
        <v>936</v>
      </c>
      <c r="B105" s="174" t="s">
        <v>909</v>
      </c>
      <c r="C105" s="174">
        <v>9</v>
      </c>
      <c r="D105" s="204">
        <v>51.566997121842014</v>
      </c>
      <c r="E105" s="204">
        <v>1.3098017268947899</v>
      </c>
      <c r="G105" s="185">
        <v>71</v>
      </c>
      <c r="H105" s="223">
        <v>2</v>
      </c>
      <c r="I105" s="223">
        <v>1</v>
      </c>
      <c r="J105" s="223">
        <v>2</v>
      </c>
      <c r="K105" s="223">
        <v>2</v>
      </c>
      <c r="L105" s="223">
        <v>2</v>
      </c>
      <c r="M105" s="223">
        <v>2</v>
      </c>
      <c r="N105" s="223">
        <v>2</v>
      </c>
      <c r="O105" s="223">
        <v>2</v>
      </c>
      <c r="P105" s="223">
        <v>2</v>
      </c>
      <c r="Q105" s="223">
        <v>3</v>
      </c>
      <c r="R105" s="223">
        <v>2</v>
      </c>
      <c r="S105" s="223">
        <v>2</v>
      </c>
      <c r="T105" s="223">
        <v>2</v>
      </c>
      <c r="U105" s="223">
        <v>1</v>
      </c>
      <c r="V105" s="223">
        <v>1</v>
      </c>
      <c r="W105" s="223">
        <v>1</v>
      </c>
      <c r="X105" s="223">
        <v>2</v>
      </c>
      <c r="Y105" s="223">
        <v>2</v>
      </c>
      <c r="Z105" s="223">
        <v>2</v>
      </c>
      <c r="AA105" s="223">
        <v>3</v>
      </c>
      <c r="AB105" s="223">
        <v>2</v>
      </c>
      <c r="AC105" s="223"/>
      <c r="AD105" s="223"/>
      <c r="AE105" s="223"/>
      <c r="AF105" s="223"/>
      <c r="AG105" s="223"/>
      <c r="AH105" s="223"/>
      <c r="AI105" s="223"/>
      <c r="AJ105" s="223"/>
      <c r="AK105" s="223"/>
      <c r="AL105" s="223"/>
      <c r="AM105" s="223"/>
      <c r="AN105" s="223"/>
      <c r="AO105" s="223"/>
      <c r="AP105" s="223"/>
      <c r="AQ105" s="223"/>
      <c r="AR105" s="223"/>
      <c r="AS105" s="223"/>
      <c r="AT105" s="223"/>
      <c r="AU105" s="223"/>
      <c r="AV105" s="223"/>
      <c r="AW105" s="223"/>
      <c r="AX105" s="223"/>
      <c r="AY105" s="223"/>
      <c r="AZ105" s="223"/>
      <c r="BA105" s="223"/>
      <c r="BB105" s="223"/>
      <c r="BC105" s="223"/>
      <c r="BD105" s="223"/>
      <c r="BE105" s="223"/>
      <c r="BF105" s="223"/>
      <c r="BG105" s="223"/>
      <c r="BH105" s="223"/>
      <c r="BI105" s="223"/>
      <c r="BJ105" s="223"/>
      <c r="BK105" s="223"/>
      <c r="BL105" s="223"/>
      <c r="BM105" s="223"/>
      <c r="BN105" s="223"/>
      <c r="BO105" s="185"/>
      <c r="BP105" s="185"/>
      <c r="BQ105" s="185"/>
      <c r="BR105" s="185"/>
      <c r="BS105" s="185"/>
    </row>
    <row r="106" spans="1:71" x14ac:dyDescent="0.2">
      <c r="A106" s="174" t="s">
        <v>1011</v>
      </c>
      <c r="B106" s="174" t="s">
        <v>982</v>
      </c>
      <c r="C106" s="174">
        <v>11</v>
      </c>
      <c r="D106" s="204">
        <v>115.90909090909088</v>
      </c>
      <c r="E106" s="204">
        <v>2.9440909090908463</v>
      </c>
      <c r="G106" s="185">
        <v>72</v>
      </c>
      <c r="H106" s="223">
        <v>2</v>
      </c>
      <c r="I106" s="223">
        <v>1</v>
      </c>
      <c r="J106" s="223">
        <v>2</v>
      </c>
      <c r="K106" s="223">
        <v>2</v>
      </c>
      <c r="L106" s="223">
        <v>2</v>
      </c>
      <c r="M106" s="223">
        <v>2</v>
      </c>
      <c r="N106" s="223">
        <v>2</v>
      </c>
      <c r="O106" s="223">
        <v>2</v>
      </c>
      <c r="P106" s="223">
        <v>2</v>
      </c>
      <c r="Q106" s="223">
        <v>3</v>
      </c>
      <c r="R106" s="223">
        <v>2</v>
      </c>
      <c r="S106" s="223">
        <v>2</v>
      </c>
      <c r="T106" s="223">
        <v>2</v>
      </c>
      <c r="U106" s="223">
        <v>1</v>
      </c>
      <c r="V106" s="223">
        <v>1</v>
      </c>
      <c r="W106" s="223">
        <v>1</v>
      </c>
      <c r="X106" s="223">
        <v>2</v>
      </c>
      <c r="Y106" s="223">
        <v>2</v>
      </c>
      <c r="Z106" s="223">
        <v>2</v>
      </c>
      <c r="AA106" s="223">
        <v>3</v>
      </c>
      <c r="AB106" s="223">
        <v>2</v>
      </c>
      <c r="AC106" s="223"/>
      <c r="AD106" s="223"/>
      <c r="AE106" s="223"/>
      <c r="AF106" s="223"/>
      <c r="AG106" s="223"/>
      <c r="AH106" s="223"/>
      <c r="AI106" s="223"/>
      <c r="AJ106" s="223"/>
      <c r="AK106" s="223"/>
      <c r="AL106" s="223"/>
      <c r="AM106" s="223"/>
      <c r="AN106" s="223"/>
      <c r="AO106" s="223"/>
      <c r="AP106" s="223"/>
      <c r="AQ106" s="223"/>
      <c r="AR106" s="223"/>
      <c r="AS106" s="223"/>
      <c r="AT106" s="223"/>
      <c r="AU106" s="223"/>
      <c r="AV106" s="223"/>
      <c r="AW106" s="223"/>
      <c r="AX106" s="223"/>
      <c r="AY106" s="223"/>
      <c r="AZ106" s="223"/>
      <c r="BA106" s="223"/>
      <c r="BB106" s="223"/>
      <c r="BC106" s="223"/>
      <c r="BD106" s="223"/>
      <c r="BE106" s="223"/>
      <c r="BF106" s="223"/>
      <c r="BG106" s="223"/>
      <c r="BH106" s="223"/>
      <c r="BI106" s="223"/>
      <c r="BJ106" s="223"/>
      <c r="BK106" s="223"/>
      <c r="BL106" s="223"/>
      <c r="BM106" s="223"/>
      <c r="BN106" s="223"/>
      <c r="BO106" s="185"/>
      <c r="BP106" s="185"/>
      <c r="BQ106" s="185"/>
      <c r="BR106" s="185"/>
      <c r="BS106" s="185"/>
    </row>
    <row r="107" spans="1:71" x14ac:dyDescent="0.2">
      <c r="A107" s="174" t="s">
        <v>900</v>
      </c>
      <c r="B107" s="174" t="s">
        <v>956</v>
      </c>
      <c r="C107" s="174">
        <v>6</v>
      </c>
      <c r="D107" s="204">
        <v>48.071655527555592</v>
      </c>
      <c r="E107" s="204">
        <v>1.2210200503999147</v>
      </c>
      <c r="G107" s="185">
        <v>73</v>
      </c>
      <c r="H107" s="223">
        <v>2</v>
      </c>
      <c r="I107" s="223">
        <v>1</v>
      </c>
      <c r="J107" s="223">
        <v>2</v>
      </c>
      <c r="K107" s="223">
        <v>2</v>
      </c>
      <c r="L107" s="223">
        <v>2</v>
      </c>
      <c r="M107" s="223">
        <v>2</v>
      </c>
      <c r="N107" s="223">
        <v>2</v>
      </c>
      <c r="O107" s="223">
        <v>2</v>
      </c>
      <c r="P107" s="223">
        <v>2</v>
      </c>
      <c r="Q107" s="223">
        <v>3</v>
      </c>
      <c r="R107" s="223">
        <v>2</v>
      </c>
      <c r="S107" s="223">
        <v>2</v>
      </c>
      <c r="T107" s="223">
        <v>2</v>
      </c>
      <c r="U107" s="223">
        <v>1</v>
      </c>
      <c r="V107" s="223">
        <v>1</v>
      </c>
      <c r="W107" s="223">
        <v>1</v>
      </c>
      <c r="X107" s="223">
        <v>2</v>
      </c>
      <c r="Y107" s="223">
        <v>2</v>
      </c>
      <c r="Z107" s="223">
        <v>2</v>
      </c>
      <c r="AA107" s="223">
        <v>3</v>
      </c>
      <c r="AB107" s="223">
        <v>2</v>
      </c>
      <c r="AC107" s="223"/>
      <c r="AD107" s="223"/>
      <c r="AE107" s="223"/>
      <c r="AF107" s="223"/>
      <c r="AG107" s="223"/>
      <c r="AH107" s="223"/>
      <c r="AI107" s="223"/>
      <c r="AJ107" s="223"/>
      <c r="AK107" s="223"/>
      <c r="AL107" s="223"/>
      <c r="AM107" s="223"/>
      <c r="AN107" s="223"/>
      <c r="AO107" s="223"/>
      <c r="AP107" s="223"/>
      <c r="AQ107" s="223"/>
      <c r="AR107" s="223"/>
      <c r="AS107" s="223"/>
      <c r="AT107" s="223"/>
      <c r="AU107" s="223"/>
      <c r="AV107" s="223"/>
      <c r="AW107" s="223"/>
      <c r="AX107" s="223"/>
      <c r="AY107" s="223"/>
      <c r="AZ107" s="223"/>
      <c r="BA107" s="223"/>
      <c r="BB107" s="223"/>
      <c r="BC107" s="223"/>
      <c r="BD107" s="223"/>
      <c r="BE107" s="223"/>
      <c r="BF107" s="223"/>
      <c r="BG107" s="223"/>
      <c r="BH107" s="223"/>
      <c r="BI107" s="223"/>
      <c r="BJ107" s="223"/>
      <c r="BK107" s="223"/>
      <c r="BL107" s="223"/>
      <c r="BM107" s="223"/>
      <c r="BN107" s="223"/>
      <c r="BO107" s="185"/>
      <c r="BP107" s="185"/>
      <c r="BQ107" s="185"/>
      <c r="BR107" s="185"/>
      <c r="BS107" s="185"/>
    </row>
    <row r="108" spans="1:71" x14ac:dyDescent="0.2">
      <c r="A108" s="174" t="s">
        <v>975</v>
      </c>
      <c r="B108" s="174" t="s">
        <v>975</v>
      </c>
      <c r="C108" s="174">
        <v>12</v>
      </c>
      <c r="D108" s="204">
        <v>45.674086518269625</v>
      </c>
      <c r="E108" s="204">
        <v>1.1601217975640594</v>
      </c>
      <c r="G108" s="185">
        <v>74</v>
      </c>
      <c r="H108" s="223">
        <v>2</v>
      </c>
      <c r="I108" s="223">
        <v>1</v>
      </c>
      <c r="J108" s="223">
        <v>2</v>
      </c>
      <c r="K108" s="223">
        <v>2</v>
      </c>
      <c r="L108" s="223">
        <v>2</v>
      </c>
      <c r="M108" s="223">
        <v>2</v>
      </c>
      <c r="N108" s="223">
        <v>2</v>
      </c>
      <c r="O108" s="223">
        <v>2</v>
      </c>
      <c r="P108" s="223">
        <v>2</v>
      </c>
      <c r="Q108" s="223">
        <v>3</v>
      </c>
      <c r="R108" s="223">
        <v>2</v>
      </c>
      <c r="S108" s="223">
        <v>2</v>
      </c>
      <c r="T108" s="223">
        <v>2</v>
      </c>
      <c r="U108" s="223">
        <v>1</v>
      </c>
      <c r="V108" s="223">
        <v>1</v>
      </c>
      <c r="W108" s="223">
        <v>1</v>
      </c>
      <c r="X108" s="223">
        <v>2</v>
      </c>
      <c r="Y108" s="223">
        <v>2</v>
      </c>
      <c r="Z108" s="223">
        <v>2</v>
      </c>
      <c r="AA108" s="223">
        <v>3</v>
      </c>
      <c r="AB108" s="223">
        <v>2</v>
      </c>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223"/>
      <c r="BH108" s="223"/>
      <c r="BI108" s="223"/>
      <c r="BJ108" s="223"/>
      <c r="BK108" s="223"/>
      <c r="BL108" s="223"/>
      <c r="BM108" s="223"/>
      <c r="BN108" s="223"/>
      <c r="BO108" s="185"/>
      <c r="BP108" s="185"/>
      <c r="BQ108" s="185"/>
      <c r="BR108" s="185"/>
      <c r="BS108" s="185"/>
    </row>
    <row r="109" spans="1:71" x14ac:dyDescent="0.2">
      <c r="G109" s="185">
        <v>75</v>
      </c>
      <c r="H109" s="223">
        <v>2</v>
      </c>
      <c r="I109" s="223">
        <v>1</v>
      </c>
      <c r="J109" s="223">
        <v>2</v>
      </c>
      <c r="K109" s="223">
        <v>2</v>
      </c>
      <c r="L109" s="223">
        <v>2</v>
      </c>
      <c r="M109" s="223">
        <v>2</v>
      </c>
      <c r="N109" s="223">
        <v>2</v>
      </c>
      <c r="O109" s="223">
        <v>2</v>
      </c>
      <c r="P109" s="223">
        <v>2</v>
      </c>
      <c r="Q109" s="223">
        <v>3</v>
      </c>
      <c r="R109" s="223">
        <v>2</v>
      </c>
      <c r="S109" s="223">
        <v>2</v>
      </c>
      <c r="T109" s="223">
        <v>2</v>
      </c>
      <c r="U109" s="223">
        <v>1</v>
      </c>
      <c r="V109" s="223">
        <v>1</v>
      </c>
      <c r="W109" s="223">
        <v>1</v>
      </c>
      <c r="X109" s="223">
        <v>2</v>
      </c>
      <c r="Y109" s="223">
        <v>2</v>
      </c>
      <c r="Z109" s="223">
        <v>2</v>
      </c>
      <c r="AA109" s="223">
        <v>3</v>
      </c>
      <c r="AB109" s="223">
        <v>2</v>
      </c>
      <c r="AC109" s="223"/>
      <c r="AD109" s="223"/>
      <c r="AE109" s="223"/>
      <c r="AF109" s="223"/>
      <c r="AG109" s="223"/>
      <c r="AH109" s="223"/>
      <c r="AI109" s="223"/>
      <c r="AJ109" s="223"/>
      <c r="AK109" s="223"/>
      <c r="AL109" s="223"/>
      <c r="AM109" s="223"/>
      <c r="AN109" s="223"/>
      <c r="AO109" s="223"/>
      <c r="AP109" s="223"/>
      <c r="AQ109" s="223"/>
      <c r="AR109" s="223"/>
      <c r="AS109" s="223"/>
      <c r="AT109" s="223"/>
      <c r="AU109" s="223"/>
      <c r="AV109" s="223"/>
      <c r="AW109" s="223"/>
      <c r="AX109" s="223"/>
      <c r="AY109" s="223"/>
      <c r="AZ109" s="223"/>
      <c r="BA109" s="223"/>
      <c r="BB109" s="223"/>
      <c r="BC109" s="223"/>
      <c r="BD109" s="223"/>
      <c r="BE109" s="223"/>
      <c r="BF109" s="223"/>
      <c r="BG109" s="223"/>
      <c r="BH109" s="223"/>
      <c r="BI109" s="223"/>
      <c r="BJ109" s="223"/>
      <c r="BK109" s="223"/>
      <c r="BL109" s="223"/>
      <c r="BM109" s="223"/>
      <c r="BN109" s="223"/>
      <c r="BO109" s="185"/>
      <c r="BP109" s="185"/>
      <c r="BQ109" s="185"/>
      <c r="BR109" s="185"/>
      <c r="BS109" s="185"/>
    </row>
    <row r="110" spans="1:71" x14ac:dyDescent="0.2">
      <c r="G110" s="185">
        <v>76</v>
      </c>
      <c r="H110" s="223">
        <v>2</v>
      </c>
      <c r="I110" s="223">
        <v>1</v>
      </c>
      <c r="J110" s="223">
        <v>3</v>
      </c>
      <c r="K110" s="223">
        <v>2</v>
      </c>
      <c r="L110" s="223">
        <v>2</v>
      </c>
      <c r="M110" s="223">
        <v>2</v>
      </c>
      <c r="N110" s="223">
        <v>2</v>
      </c>
      <c r="O110" s="223">
        <v>2</v>
      </c>
      <c r="P110" s="223">
        <v>3</v>
      </c>
      <c r="Q110" s="223">
        <v>3</v>
      </c>
      <c r="R110" s="223">
        <v>2</v>
      </c>
      <c r="S110" s="223">
        <v>2</v>
      </c>
      <c r="T110" s="223">
        <v>2</v>
      </c>
      <c r="U110" s="223">
        <v>1</v>
      </c>
      <c r="V110" s="223">
        <v>1</v>
      </c>
      <c r="W110" s="223">
        <v>1</v>
      </c>
      <c r="X110" s="223">
        <v>3</v>
      </c>
      <c r="Y110" s="223">
        <v>3</v>
      </c>
      <c r="Z110" s="223">
        <v>3</v>
      </c>
      <c r="AA110" s="223">
        <v>3</v>
      </c>
      <c r="AB110" s="223">
        <v>3</v>
      </c>
      <c r="AC110" s="223"/>
      <c r="AD110" s="223"/>
      <c r="AE110" s="223"/>
      <c r="AF110" s="223"/>
      <c r="AG110" s="223"/>
      <c r="AH110" s="223"/>
      <c r="AI110" s="223"/>
      <c r="AJ110" s="223"/>
      <c r="AK110" s="223"/>
      <c r="AL110" s="223"/>
      <c r="AM110" s="223"/>
      <c r="AN110" s="223"/>
      <c r="AO110" s="223"/>
      <c r="AP110" s="223"/>
      <c r="AQ110" s="223"/>
      <c r="AR110" s="223"/>
      <c r="AS110" s="223"/>
      <c r="AT110" s="223"/>
      <c r="AU110" s="223"/>
      <c r="AV110" s="223"/>
      <c r="AW110" s="223"/>
      <c r="AX110" s="223"/>
      <c r="AY110" s="223"/>
      <c r="AZ110" s="223"/>
      <c r="BA110" s="223"/>
      <c r="BB110" s="223"/>
      <c r="BC110" s="223"/>
      <c r="BD110" s="223"/>
      <c r="BE110" s="223"/>
      <c r="BF110" s="223"/>
      <c r="BG110" s="223"/>
      <c r="BH110" s="223"/>
      <c r="BI110" s="223"/>
      <c r="BJ110" s="223"/>
      <c r="BK110" s="223"/>
      <c r="BL110" s="223"/>
      <c r="BM110" s="223"/>
      <c r="BN110" s="223"/>
      <c r="BO110" s="185"/>
      <c r="BP110" s="185"/>
      <c r="BQ110" s="185"/>
      <c r="BR110" s="185"/>
      <c r="BS110" s="185"/>
    </row>
    <row r="111" spans="1:71" x14ac:dyDescent="0.2">
      <c r="G111" s="185">
        <v>77</v>
      </c>
      <c r="H111" s="223">
        <v>2</v>
      </c>
      <c r="I111" s="223">
        <v>1</v>
      </c>
      <c r="J111" s="223">
        <v>3</v>
      </c>
      <c r="K111" s="223">
        <v>3</v>
      </c>
      <c r="L111" s="223">
        <v>3</v>
      </c>
      <c r="M111" s="223">
        <v>3</v>
      </c>
      <c r="N111" s="223">
        <v>3</v>
      </c>
      <c r="O111" s="223">
        <v>3</v>
      </c>
      <c r="P111" s="223">
        <v>3</v>
      </c>
      <c r="Q111" s="223">
        <v>3</v>
      </c>
      <c r="R111" s="223">
        <v>3</v>
      </c>
      <c r="S111" s="223">
        <v>3</v>
      </c>
      <c r="T111" s="223">
        <v>3</v>
      </c>
      <c r="U111" s="223">
        <v>1</v>
      </c>
      <c r="V111" s="223">
        <v>1</v>
      </c>
      <c r="W111" s="223">
        <v>1</v>
      </c>
      <c r="X111" s="223">
        <v>3</v>
      </c>
      <c r="Y111" s="223">
        <v>3</v>
      </c>
      <c r="Z111" s="223">
        <v>3</v>
      </c>
      <c r="AA111" s="223">
        <v>3</v>
      </c>
      <c r="AB111" s="223">
        <v>3</v>
      </c>
      <c r="AC111" s="223"/>
      <c r="AD111" s="223"/>
      <c r="AE111" s="223"/>
      <c r="AF111" s="223"/>
      <c r="AG111" s="223"/>
      <c r="AH111" s="223"/>
      <c r="AI111" s="223"/>
      <c r="AJ111" s="223"/>
      <c r="AK111" s="223"/>
      <c r="AL111" s="223"/>
      <c r="AM111" s="223"/>
      <c r="AN111" s="223"/>
      <c r="AO111" s="223"/>
      <c r="AP111" s="223"/>
      <c r="AQ111" s="223"/>
      <c r="AR111" s="223"/>
      <c r="AS111" s="223"/>
      <c r="AT111" s="223"/>
      <c r="AU111" s="223"/>
      <c r="AV111" s="223"/>
      <c r="AW111" s="223"/>
      <c r="AX111" s="223"/>
      <c r="AY111" s="223"/>
      <c r="AZ111" s="223"/>
      <c r="BA111" s="223"/>
      <c r="BB111" s="223"/>
      <c r="BC111" s="223"/>
      <c r="BD111" s="223"/>
      <c r="BE111" s="223"/>
      <c r="BF111" s="223"/>
      <c r="BG111" s="223"/>
      <c r="BH111" s="223"/>
      <c r="BI111" s="223"/>
      <c r="BJ111" s="223"/>
      <c r="BK111" s="223"/>
      <c r="BL111" s="223"/>
      <c r="BM111" s="223"/>
      <c r="BN111" s="223"/>
      <c r="BO111" s="185"/>
      <c r="BP111" s="185"/>
      <c r="BQ111" s="185"/>
      <c r="BR111" s="185"/>
      <c r="BS111" s="185"/>
    </row>
    <row r="112" spans="1:71" x14ac:dyDescent="0.2">
      <c r="G112" s="185">
        <v>78</v>
      </c>
      <c r="H112" s="223">
        <v>2</v>
      </c>
      <c r="I112" s="223">
        <v>1</v>
      </c>
      <c r="J112" s="223">
        <v>3</v>
      </c>
      <c r="K112" s="223">
        <v>3</v>
      </c>
      <c r="L112" s="223">
        <v>3</v>
      </c>
      <c r="M112" s="223">
        <v>3</v>
      </c>
      <c r="N112" s="223">
        <v>3</v>
      </c>
      <c r="O112" s="223">
        <v>3</v>
      </c>
      <c r="P112" s="223">
        <v>3</v>
      </c>
      <c r="Q112" s="223">
        <v>3</v>
      </c>
      <c r="R112" s="223">
        <v>3</v>
      </c>
      <c r="S112" s="223">
        <v>3</v>
      </c>
      <c r="T112" s="223">
        <v>3</v>
      </c>
      <c r="U112" s="223">
        <v>1</v>
      </c>
      <c r="V112" s="223">
        <v>1</v>
      </c>
      <c r="W112" s="223">
        <v>1</v>
      </c>
      <c r="X112" s="223">
        <v>3</v>
      </c>
      <c r="Y112" s="223">
        <v>3</v>
      </c>
      <c r="Z112" s="223">
        <v>3</v>
      </c>
      <c r="AA112" s="223">
        <v>3</v>
      </c>
      <c r="AB112" s="223">
        <v>3</v>
      </c>
      <c r="AC112" s="223"/>
      <c r="AD112" s="223"/>
      <c r="AE112" s="223"/>
      <c r="AF112" s="223"/>
      <c r="AG112" s="223"/>
      <c r="AH112" s="223"/>
      <c r="AI112" s="223"/>
      <c r="AJ112" s="223"/>
      <c r="AK112" s="223"/>
      <c r="AL112" s="223"/>
      <c r="AM112" s="223"/>
      <c r="AN112" s="223"/>
      <c r="AO112" s="223"/>
      <c r="AP112" s="223"/>
      <c r="AQ112" s="223"/>
      <c r="AR112" s="223"/>
      <c r="AS112" s="223"/>
      <c r="AT112" s="223"/>
      <c r="AU112" s="223"/>
      <c r="AV112" s="223"/>
      <c r="AW112" s="223"/>
      <c r="AX112" s="223"/>
      <c r="AY112" s="223"/>
      <c r="AZ112" s="223"/>
      <c r="BA112" s="223"/>
      <c r="BB112" s="223"/>
      <c r="BC112" s="223"/>
      <c r="BD112" s="223"/>
      <c r="BE112" s="223"/>
      <c r="BF112" s="223"/>
      <c r="BG112" s="223"/>
      <c r="BH112" s="223"/>
      <c r="BI112" s="223"/>
      <c r="BJ112" s="223"/>
      <c r="BK112" s="223"/>
      <c r="BL112" s="223"/>
      <c r="BM112" s="223"/>
      <c r="BN112" s="223"/>
      <c r="BO112" s="185"/>
      <c r="BP112" s="185"/>
      <c r="BQ112" s="185"/>
      <c r="BR112" s="185"/>
      <c r="BS112" s="185"/>
    </row>
    <row r="113" spans="7:71" x14ac:dyDescent="0.2">
      <c r="G113" s="185">
        <v>79</v>
      </c>
      <c r="H113" s="223">
        <v>2</v>
      </c>
      <c r="I113" s="223">
        <v>1</v>
      </c>
      <c r="J113" s="223">
        <v>3</v>
      </c>
      <c r="K113" s="223">
        <v>3</v>
      </c>
      <c r="L113" s="223">
        <v>3</v>
      </c>
      <c r="M113" s="223">
        <v>3</v>
      </c>
      <c r="N113" s="223">
        <v>3</v>
      </c>
      <c r="O113" s="223">
        <v>3</v>
      </c>
      <c r="P113" s="223">
        <v>3</v>
      </c>
      <c r="Q113" s="223">
        <v>4</v>
      </c>
      <c r="R113" s="223">
        <v>3</v>
      </c>
      <c r="S113" s="223">
        <v>3</v>
      </c>
      <c r="T113" s="223">
        <v>3</v>
      </c>
      <c r="U113" s="223">
        <v>1</v>
      </c>
      <c r="V113" s="223">
        <v>1</v>
      </c>
      <c r="W113" s="223">
        <v>1</v>
      </c>
      <c r="X113" s="223">
        <v>3</v>
      </c>
      <c r="Y113" s="223">
        <v>3</v>
      </c>
      <c r="Z113" s="223">
        <v>3</v>
      </c>
      <c r="AA113" s="223">
        <v>4</v>
      </c>
      <c r="AB113" s="223">
        <v>3</v>
      </c>
      <c r="AC113" s="223"/>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185"/>
      <c r="BP113" s="185"/>
      <c r="BQ113" s="185"/>
      <c r="BR113" s="185"/>
      <c r="BS113" s="185"/>
    </row>
    <row r="114" spans="7:71" x14ac:dyDescent="0.2">
      <c r="G114" s="185">
        <v>80</v>
      </c>
      <c r="H114" s="223">
        <v>2</v>
      </c>
      <c r="I114" s="223">
        <v>1</v>
      </c>
      <c r="J114" s="223">
        <v>3</v>
      </c>
      <c r="K114" s="223">
        <v>3</v>
      </c>
      <c r="L114" s="223">
        <v>3</v>
      </c>
      <c r="M114" s="223">
        <v>3</v>
      </c>
      <c r="N114" s="223">
        <v>3</v>
      </c>
      <c r="O114" s="223">
        <v>3</v>
      </c>
      <c r="P114" s="223">
        <v>3</v>
      </c>
      <c r="Q114" s="223">
        <v>4</v>
      </c>
      <c r="R114" s="223">
        <v>3</v>
      </c>
      <c r="S114" s="223">
        <v>3</v>
      </c>
      <c r="T114" s="223">
        <v>3</v>
      </c>
      <c r="U114" s="223">
        <v>1</v>
      </c>
      <c r="V114" s="223">
        <v>1</v>
      </c>
      <c r="W114" s="223">
        <v>1</v>
      </c>
      <c r="X114" s="223">
        <v>3</v>
      </c>
      <c r="Y114" s="223">
        <v>3</v>
      </c>
      <c r="Z114" s="223">
        <v>3</v>
      </c>
      <c r="AA114" s="223">
        <v>4</v>
      </c>
      <c r="AB114" s="223">
        <v>3</v>
      </c>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185"/>
      <c r="BP114" s="185"/>
      <c r="BQ114" s="185"/>
      <c r="BR114" s="185"/>
      <c r="BS114" s="185"/>
    </row>
    <row r="115" spans="7:71" x14ac:dyDescent="0.2">
      <c r="G115" s="185">
        <v>81</v>
      </c>
      <c r="H115" s="223">
        <v>2</v>
      </c>
      <c r="I115" s="223">
        <v>1</v>
      </c>
      <c r="J115" s="223">
        <v>3</v>
      </c>
      <c r="K115" s="223">
        <v>3</v>
      </c>
      <c r="L115" s="223">
        <v>3</v>
      </c>
      <c r="M115" s="223">
        <v>3</v>
      </c>
      <c r="N115" s="223">
        <v>3</v>
      </c>
      <c r="O115" s="223">
        <v>3</v>
      </c>
      <c r="P115" s="223">
        <v>3</v>
      </c>
      <c r="Q115" s="223">
        <v>4</v>
      </c>
      <c r="R115" s="223">
        <v>3</v>
      </c>
      <c r="S115" s="223">
        <v>3</v>
      </c>
      <c r="T115" s="223">
        <v>3</v>
      </c>
      <c r="U115" s="223">
        <v>1</v>
      </c>
      <c r="V115" s="223">
        <v>1</v>
      </c>
      <c r="W115" s="223">
        <v>1</v>
      </c>
      <c r="X115" s="223">
        <v>3</v>
      </c>
      <c r="Y115" s="223">
        <v>3</v>
      </c>
      <c r="Z115" s="223">
        <v>3</v>
      </c>
      <c r="AA115" s="223">
        <v>4</v>
      </c>
      <c r="AB115" s="223">
        <v>3</v>
      </c>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185"/>
      <c r="BP115" s="185"/>
      <c r="BQ115" s="185"/>
      <c r="BR115" s="185"/>
      <c r="BS115" s="185"/>
    </row>
    <row r="116" spans="7:71" x14ac:dyDescent="0.2">
      <c r="G116" s="185">
        <v>82</v>
      </c>
      <c r="H116" s="223">
        <v>3</v>
      </c>
      <c r="I116" s="223">
        <v>1</v>
      </c>
      <c r="J116" s="223">
        <v>3</v>
      </c>
      <c r="K116" s="223">
        <v>3</v>
      </c>
      <c r="L116" s="223">
        <v>3</v>
      </c>
      <c r="M116" s="223">
        <v>3</v>
      </c>
      <c r="N116" s="223">
        <v>3</v>
      </c>
      <c r="O116" s="223">
        <v>3</v>
      </c>
      <c r="P116" s="223">
        <v>3</v>
      </c>
      <c r="Q116" s="223">
        <v>4</v>
      </c>
      <c r="R116" s="223">
        <v>3</v>
      </c>
      <c r="S116" s="223">
        <v>3</v>
      </c>
      <c r="T116" s="223">
        <v>3</v>
      </c>
      <c r="U116" s="223">
        <v>1</v>
      </c>
      <c r="V116" s="223">
        <v>1</v>
      </c>
      <c r="W116" s="223">
        <v>1</v>
      </c>
      <c r="X116" s="223">
        <v>3</v>
      </c>
      <c r="Y116" s="223">
        <v>3</v>
      </c>
      <c r="Z116" s="223">
        <v>3</v>
      </c>
      <c r="AA116" s="223">
        <v>4</v>
      </c>
      <c r="AB116" s="223">
        <v>3</v>
      </c>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185"/>
      <c r="BP116" s="185"/>
      <c r="BQ116" s="185"/>
      <c r="BR116" s="185"/>
      <c r="BS116" s="185"/>
    </row>
    <row r="117" spans="7:71" x14ac:dyDescent="0.2">
      <c r="G117" s="185">
        <v>83</v>
      </c>
      <c r="H117" s="223">
        <v>3</v>
      </c>
      <c r="I117" s="223">
        <v>1</v>
      </c>
      <c r="J117" s="223">
        <v>3</v>
      </c>
      <c r="K117" s="223">
        <v>3</v>
      </c>
      <c r="L117" s="223">
        <v>3</v>
      </c>
      <c r="M117" s="223">
        <v>3</v>
      </c>
      <c r="N117" s="223">
        <v>3</v>
      </c>
      <c r="O117" s="223">
        <v>3</v>
      </c>
      <c r="P117" s="223">
        <v>3</v>
      </c>
      <c r="Q117" s="223">
        <v>4</v>
      </c>
      <c r="R117" s="223">
        <v>3</v>
      </c>
      <c r="S117" s="223">
        <v>3</v>
      </c>
      <c r="T117" s="223">
        <v>3</v>
      </c>
      <c r="U117" s="223">
        <v>1</v>
      </c>
      <c r="V117" s="223">
        <v>1</v>
      </c>
      <c r="W117" s="223">
        <v>1</v>
      </c>
      <c r="X117" s="223">
        <v>3</v>
      </c>
      <c r="Y117" s="223">
        <v>3</v>
      </c>
      <c r="Z117" s="223">
        <v>3</v>
      </c>
      <c r="AA117" s="223">
        <v>4</v>
      </c>
      <c r="AB117" s="223">
        <v>3</v>
      </c>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185"/>
      <c r="BP117" s="185"/>
      <c r="BQ117" s="185"/>
      <c r="BR117" s="185"/>
      <c r="BS117" s="185"/>
    </row>
    <row r="118" spans="7:71" x14ac:dyDescent="0.2">
      <c r="G118" s="185">
        <v>84</v>
      </c>
      <c r="H118" s="223">
        <v>3</v>
      </c>
      <c r="I118" s="223">
        <v>1</v>
      </c>
      <c r="J118" s="223">
        <v>4</v>
      </c>
      <c r="K118" s="223">
        <v>3</v>
      </c>
      <c r="L118" s="223">
        <v>3</v>
      </c>
      <c r="M118" s="223">
        <v>3</v>
      </c>
      <c r="N118" s="223">
        <v>3</v>
      </c>
      <c r="O118" s="223">
        <v>3</v>
      </c>
      <c r="P118" s="223">
        <v>3</v>
      </c>
      <c r="Q118" s="223">
        <v>4</v>
      </c>
      <c r="R118" s="223">
        <v>3</v>
      </c>
      <c r="S118" s="223">
        <v>3</v>
      </c>
      <c r="T118" s="223">
        <v>3</v>
      </c>
      <c r="U118" s="223">
        <v>1</v>
      </c>
      <c r="V118" s="223">
        <v>1</v>
      </c>
      <c r="W118" s="223">
        <v>1</v>
      </c>
      <c r="X118" s="223">
        <v>4</v>
      </c>
      <c r="Y118" s="223">
        <v>4</v>
      </c>
      <c r="Z118" s="223">
        <v>3</v>
      </c>
      <c r="AA118" s="223">
        <v>4</v>
      </c>
      <c r="AB118" s="223">
        <v>3</v>
      </c>
      <c r="AC118" s="223"/>
      <c r="AD118" s="223"/>
      <c r="AE118" s="223"/>
      <c r="AF118" s="223"/>
      <c r="AG118" s="223"/>
      <c r="AH118" s="223"/>
      <c r="AI118" s="223"/>
      <c r="AJ118" s="223"/>
      <c r="AK118" s="223"/>
      <c r="AL118" s="223"/>
      <c r="AM118" s="223"/>
      <c r="AN118" s="223"/>
      <c r="AO118" s="223"/>
      <c r="AP118" s="223"/>
      <c r="AQ118" s="223"/>
      <c r="AR118" s="223"/>
      <c r="AS118" s="223"/>
      <c r="AT118" s="223"/>
      <c r="AU118" s="223"/>
      <c r="AV118" s="223"/>
      <c r="AW118" s="223"/>
      <c r="AX118" s="223"/>
      <c r="AY118" s="223"/>
      <c r="AZ118" s="223"/>
      <c r="BA118" s="223"/>
      <c r="BB118" s="223"/>
      <c r="BC118" s="223"/>
      <c r="BD118" s="223"/>
      <c r="BE118" s="223"/>
      <c r="BF118" s="223"/>
      <c r="BG118" s="223"/>
      <c r="BH118" s="223"/>
      <c r="BI118" s="223"/>
      <c r="BJ118" s="223"/>
      <c r="BK118" s="223"/>
      <c r="BL118" s="223"/>
      <c r="BM118" s="223"/>
      <c r="BN118" s="223"/>
      <c r="BO118" s="185"/>
      <c r="BP118" s="185"/>
      <c r="BQ118" s="185"/>
      <c r="BR118" s="185"/>
      <c r="BS118" s="185"/>
    </row>
    <row r="119" spans="7:71" x14ac:dyDescent="0.2">
      <c r="G119" s="185">
        <v>85</v>
      </c>
      <c r="H119" s="223">
        <v>3</v>
      </c>
      <c r="I119" s="223">
        <v>1</v>
      </c>
      <c r="J119" s="223">
        <v>4</v>
      </c>
      <c r="K119" s="223">
        <v>4</v>
      </c>
      <c r="L119" s="223">
        <v>4</v>
      </c>
      <c r="M119" s="223">
        <v>4</v>
      </c>
      <c r="N119" s="223">
        <v>4</v>
      </c>
      <c r="O119" s="223">
        <v>4</v>
      </c>
      <c r="P119" s="223">
        <v>4</v>
      </c>
      <c r="Q119" s="223">
        <v>4</v>
      </c>
      <c r="R119" s="223">
        <v>4</v>
      </c>
      <c r="S119" s="223">
        <v>4</v>
      </c>
      <c r="T119" s="223">
        <v>4</v>
      </c>
      <c r="U119" s="223">
        <v>1</v>
      </c>
      <c r="V119" s="223">
        <v>1</v>
      </c>
      <c r="W119" s="223">
        <v>1</v>
      </c>
      <c r="X119" s="223">
        <v>4</v>
      </c>
      <c r="Y119" s="223">
        <v>4</v>
      </c>
      <c r="Z119" s="223">
        <v>4</v>
      </c>
      <c r="AA119" s="223">
        <v>4</v>
      </c>
      <c r="AB119" s="223">
        <v>4</v>
      </c>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3"/>
      <c r="AZ119" s="223"/>
      <c r="BA119" s="223"/>
      <c r="BB119" s="223"/>
      <c r="BC119" s="223"/>
      <c r="BD119" s="223"/>
      <c r="BE119" s="223"/>
      <c r="BF119" s="223"/>
      <c r="BG119" s="223"/>
      <c r="BH119" s="223"/>
      <c r="BI119" s="223"/>
      <c r="BJ119" s="223"/>
      <c r="BK119" s="223"/>
      <c r="BL119" s="223"/>
      <c r="BM119" s="223"/>
      <c r="BN119" s="223"/>
      <c r="BO119" s="185"/>
      <c r="BP119" s="185"/>
      <c r="BQ119" s="185"/>
      <c r="BR119" s="185"/>
      <c r="BS119" s="185"/>
    </row>
    <row r="120" spans="7:71" x14ac:dyDescent="0.2">
      <c r="G120" s="185">
        <v>86</v>
      </c>
      <c r="H120" s="223">
        <v>3</v>
      </c>
      <c r="I120" s="223">
        <v>2</v>
      </c>
      <c r="J120" s="223">
        <v>4</v>
      </c>
      <c r="K120" s="223">
        <v>4</v>
      </c>
      <c r="L120" s="223">
        <v>4</v>
      </c>
      <c r="M120" s="223">
        <v>4</v>
      </c>
      <c r="N120" s="223">
        <v>4</v>
      </c>
      <c r="O120" s="223">
        <v>4</v>
      </c>
      <c r="P120" s="223">
        <v>4</v>
      </c>
      <c r="Q120" s="223">
        <v>5</v>
      </c>
      <c r="R120" s="223">
        <v>4</v>
      </c>
      <c r="S120" s="223">
        <v>4</v>
      </c>
      <c r="T120" s="223">
        <v>4</v>
      </c>
      <c r="U120" s="223">
        <v>2</v>
      </c>
      <c r="V120" s="223">
        <v>2</v>
      </c>
      <c r="W120" s="223">
        <v>2</v>
      </c>
      <c r="X120" s="223">
        <v>4</v>
      </c>
      <c r="Y120" s="223">
        <v>4</v>
      </c>
      <c r="Z120" s="223">
        <v>4</v>
      </c>
      <c r="AA120" s="223">
        <v>5</v>
      </c>
      <c r="AB120" s="223">
        <v>4</v>
      </c>
      <c r="AC120" s="223"/>
      <c r="AD120" s="223"/>
      <c r="AE120" s="223"/>
      <c r="AF120" s="223"/>
      <c r="AG120" s="223"/>
      <c r="AH120" s="223"/>
      <c r="AI120" s="223"/>
      <c r="AJ120" s="223"/>
      <c r="AK120" s="223"/>
      <c r="AL120" s="223"/>
      <c r="AM120" s="223"/>
      <c r="AN120" s="223"/>
      <c r="AO120" s="223"/>
      <c r="AP120" s="223"/>
      <c r="AQ120" s="223"/>
      <c r="AR120" s="223"/>
      <c r="AS120" s="223"/>
      <c r="AT120" s="223"/>
      <c r="AU120" s="223"/>
      <c r="AV120" s="223"/>
      <c r="AW120" s="223"/>
      <c r="AX120" s="223"/>
      <c r="AY120" s="223"/>
      <c r="AZ120" s="223"/>
      <c r="BA120" s="223"/>
      <c r="BB120" s="223"/>
      <c r="BC120" s="223"/>
      <c r="BD120" s="223"/>
      <c r="BE120" s="223"/>
      <c r="BF120" s="223"/>
      <c r="BG120" s="223"/>
      <c r="BH120" s="223"/>
      <c r="BI120" s="223"/>
      <c r="BJ120" s="223"/>
      <c r="BK120" s="223"/>
      <c r="BL120" s="223"/>
      <c r="BM120" s="223"/>
      <c r="BN120" s="223"/>
      <c r="BO120" s="185"/>
      <c r="BP120" s="185"/>
      <c r="BQ120" s="185"/>
      <c r="BR120" s="185"/>
      <c r="BS120" s="185"/>
    </row>
    <row r="121" spans="7:71" x14ac:dyDescent="0.2">
      <c r="G121" s="185">
        <v>87</v>
      </c>
      <c r="H121" s="223">
        <v>3</v>
      </c>
      <c r="I121" s="223">
        <v>2</v>
      </c>
      <c r="J121" s="223">
        <v>4</v>
      </c>
      <c r="K121" s="223">
        <v>4</v>
      </c>
      <c r="L121" s="223">
        <v>4</v>
      </c>
      <c r="M121" s="223">
        <v>4</v>
      </c>
      <c r="N121" s="223">
        <v>4</v>
      </c>
      <c r="O121" s="223">
        <v>4</v>
      </c>
      <c r="P121" s="223">
        <v>4</v>
      </c>
      <c r="Q121" s="223">
        <v>5</v>
      </c>
      <c r="R121" s="223">
        <v>4</v>
      </c>
      <c r="S121" s="223">
        <v>4</v>
      </c>
      <c r="T121" s="223">
        <v>4</v>
      </c>
      <c r="U121" s="223">
        <v>2</v>
      </c>
      <c r="V121" s="223">
        <v>2</v>
      </c>
      <c r="W121" s="223">
        <v>2</v>
      </c>
      <c r="X121" s="223">
        <v>4</v>
      </c>
      <c r="Y121" s="223">
        <v>4</v>
      </c>
      <c r="Z121" s="223">
        <v>4</v>
      </c>
      <c r="AA121" s="223">
        <v>5</v>
      </c>
      <c r="AB121" s="223">
        <v>4</v>
      </c>
      <c r="AC121" s="223"/>
      <c r="AD121" s="223"/>
      <c r="AE121" s="223"/>
      <c r="AF121" s="223"/>
      <c r="AG121" s="223"/>
      <c r="AH121" s="223"/>
      <c r="AI121" s="223"/>
      <c r="AJ121" s="223"/>
      <c r="AK121" s="223"/>
      <c r="AL121" s="223"/>
      <c r="AM121" s="223"/>
      <c r="AN121" s="223"/>
      <c r="AO121" s="223"/>
      <c r="AP121" s="223"/>
      <c r="AQ121" s="223"/>
      <c r="AR121" s="223"/>
      <c r="AS121" s="223"/>
      <c r="AT121" s="223"/>
      <c r="AU121" s="223"/>
      <c r="AV121" s="223"/>
      <c r="AW121" s="223"/>
      <c r="AX121" s="223"/>
      <c r="AY121" s="223"/>
      <c r="AZ121" s="223"/>
      <c r="BA121" s="223"/>
      <c r="BB121" s="223"/>
      <c r="BC121" s="223"/>
      <c r="BD121" s="223"/>
      <c r="BE121" s="223"/>
      <c r="BF121" s="223"/>
      <c r="BG121" s="223"/>
      <c r="BH121" s="223"/>
      <c r="BI121" s="223"/>
      <c r="BJ121" s="223"/>
      <c r="BK121" s="223"/>
      <c r="BL121" s="223"/>
      <c r="BM121" s="223"/>
      <c r="BN121" s="223"/>
      <c r="BO121" s="185"/>
      <c r="BP121" s="185"/>
      <c r="BQ121" s="185"/>
      <c r="BR121" s="185"/>
      <c r="BS121" s="185"/>
    </row>
    <row r="122" spans="7:71" x14ac:dyDescent="0.2">
      <c r="G122" s="185">
        <v>88</v>
      </c>
      <c r="H122" s="223">
        <v>3</v>
      </c>
      <c r="I122" s="223">
        <v>2</v>
      </c>
      <c r="J122" s="223">
        <v>4</v>
      </c>
      <c r="K122" s="223">
        <v>4</v>
      </c>
      <c r="L122" s="223">
        <v>4</v>
      </c>
      <c r="M122" s="223">
        <v>4</v>
      </c>
      <c r="N122" s="223">
        <v>4</v>
      </c>
      <c r="O122" s="223">
        <v>4</v>
      </c>
      <c r="P122" s="223">
        <v>4</v>
      </c>
      <c r="Q122" s="223">
        <v>5</v>
      </c>
      <c r="R122" s="223">
        <v>4</v>
      </c>
      <c r="S122" s="223">
        <v>4</v>
      </c>
      <c r="T122" s="223">
        <v>4</v>
      </c>
      <c r="U122" s="223">
        <v>2</v>
      </c>
      <c r="V122" s="223">
        <v>2</v>
      </c>
      <c r="W122" s="223">
        <v>2</v>
      </c>
      <c r="X122" s="223">
        <v>4</v>
      </c>
      <c r="Y122" s="223">
        <v>4</v>
      </c>
      <c r="Z122" s="223">
        <v>4</v>
      </c>
      <c r="AA122" s="223">
        <v>5</v>
      </c>
      <c r="AB122" s="223">
        <v>4</v>
      </c>
      <c r="AC122" s="223"/>
      <c r="AD122" s="223"/>
      <c r="AE122" s="223"/>
      <c r="AF122" s="223"/>
      <c r="AG122" s="223"/>
      <c r="AH122" s="223"/>
      <c r="AI122" s="223"/>
      <c r="AJ122" s="223"/>
      <c r="AK122" s="223"/>
      <c r="AL122" s="223"/>
      <c r="AM122" s="223"/>
      <c r="AN122" s="223"/>
      <c r="AO122" s="223"/>
      <c r="AP122" s="223"/>
      <c r="AQ122" s="223"/>
      <c r="AR122" s="223"/>
      <c r="AS122" s="223"/>
      <c r="AT122" s="223"/>
      <c r="AU122" s="223"/>
      <c r="AV122" s="223"/>
      <c r="AW122" s="223"/>
      <c r="AX122" s="223"/>
      <c r="AY122" s="223"/>
      <c r="AZ122" s="223"/>
      <c r="BA122" s="223"/>
      <c r="BB122" s="223"/>
      <c r="BC122" s="223"/>
      <c r="BD122" s="223"/>
      <c r="BE122" s="223"/>
      <c r="BF122" s="223"/>
      <c r="BG122" s="223"/>
      <c r="BH122" s="223"/>
      <c r="BI122" s="223"/>
      <c r="BJ122" s="223"/>
      <c r="BK122" s="223"/>
      <c r="BL122" s="223"/>
      <c r="BM122" s="223"/>
      <c r="BN122" s="223"/>
      <c r="BO122" s="185"/>
      <c r="BP122" s="185"/>
      <c r="BQ122" s="185"/>
      <c r="BR122" s="185"/>
      <c r="BS122" s="185"/>
    </row>
    <row r="123" spans="7:71" x14ac:dyDescent="0.2">
      <c r="G123" s="185">
        <v>89</v>
      </c>
      <c r="H123" s="223">
        <v>4</v>
      </c>
      <c r="I123" s="223">
        <v>2</v>
      </c>
      <c r="J123" s="223">
        <v>5</v>
      </c>
      <c r="K123" s="223">
        <v>4</v>
      </c>
      <c r="L123" s="223">
        <v>4</v>
      </c>
      <c r="M123" s="223">
        <v>4</v>
      </c>
      <c r="N123" s="223">
        <v>4</v>
      </c>
      <c r="O123" s="223">
        <v>4</v>
      </c>
      <c r="P123" s="223">
        <v>4</v>
      </c>
      <c r="Q123" s="223">
        <v>5</v>
      </c>
      <c r="R123" s="223">
        <v>4</v>
      </c>
      <c r="S123" s="223">
        <v>4</v>
      </c>
      <c r="T123" s="223">
        <v>4</v>
      </c>
      <c r="U123" s="223">
        <v>2</v>
      </c>
      <c r="V123" s="223">
        <v>2</v>
      </c>
      <c r="W123" s="223">
        <v>2</v>
      </c>
      <c r="X123" s="223">
        <v>5</v>
      </c>
      <c r="Y123" s="223">
        <v>5</v>
      </c>
      <c r="Z123" s="223">
        <v>4</v>
      </c>
      <c r="AA123" s="223">
        <v>5</v>
      </c>
      <c r="AB123" s="223">
        <v>4</v>
      </c>
      <c r="AC123" s="223"/>
      <c r="AD123" s="223"/>
      <c r="AE123" s="223"/>
      <c r="AF123" s="223"/>
      <c r="AG123" s="223"/>
      <c r="AH123" s="223"/>
      <c r="AI123" s="223"/>
      <c r="AJ123" s="223"/>
      <c r="AK123" s="223"/>
      <c r="AL123" s="223"/>
      <c r="AM123" s="223"/>
      <c r="AN123" s="223"/>
      <c r="AO123" s="223"/>
      <c r="AP123" s="223"/>
      <c r="AQ123" s="223"/>
      <c r="AR123" s="223"/>
      <c r="AS123" s="223"/>
      <c r="AT123" s="223"/>
      <c r="AU123" s="223"/>
      <c r="AV123" s="223"/>
      <c r="AW123" s="223"/>
      <c r="AX123" s="223"/>
      <c r="AY123" s="223"/>
      <c r="AZ123" s="223"/>
      <c r="BA123" s="223"/>
      <c r="BB123" s="223"/>
      <c r="BC123" s="223"/>
      <c r="BD123" s="223"/>
      <c r="BE123" s="223"/>
      <c r="BF123" s="223"/>
      <c r="BG123" s="223"/>
      <c r="BH123" s="223"/>
      <c r="BI123" s="223"/>
      <c r="BJ123" s="223"/>
      <c r="BK123" s="223"/>
      <c r="BL123" s="223"/>
      <c r="BM123" s="223"/>
      <c r="BN123" s="223"/>
      <c r="BO123" s="185"/>
      <c r="BP123" s="185"/>
      <c r="BQ123" s="185"/>
      <c r="BR123" s="185"/>
      <c r="BS123" s="185"/>
    </row>
    <row r="124" spans="7:71" x14ac:dyDescent="0.2">
      <c r="G124" s="185">
        <v>90</v>
      </c>
      <c r="H124" s="223">
        <v>4</v>
      </c>
      <c r="I124" s="223">
        <v>2</v>
      </c>
      <c r="J124" s="223">
        <v>5</v>
      </c>
      <c r="K124" s="223">
        <v>4</v>
      </c>
      <c r="L124" s="223">
        <v>4</v>
      </c>
      <c r="M124" s="223">
        <v>4</v>
      </c>
      <c r="N124" s="223">
        <v>4</v>
      </c>
      <c r="O124" s="223">
        <v>4</v>
      </c>
      <c r="P124" s="223">
        <v>4</v>
      </c>
      <c r="Q124" s="223">
        <v>5</v>
      </c>
      <c r="R124" s="223">
        <v>4</v>
      </c>
      <c r="S124" s="223">
        <v>4</v>
      </c>
      <c r="T124" s="223">
        <v>4</v>
      </c>
      <c r="U124" s="223">
        <v>2</v>
      </c>
      <c r="V124" s="223">
        <v>2</v>
      </c>
      <c r="W124" s="223">
        <v>2</v>
      </c>
      <c r="X124" s="223">
        <v>5</v>
      </c>
      <c r="Y124" s="223">
        <v>5</v>
      </c>
      <c r="Z124" s="223">
        <v>4</v>
      </c>
      <c r="AA124" s="223">
        <v>5</v>
      </c>
      <c r="AB124" s="223">
        <v>4</v>
      </c>
      <c r="AC124" s="223"/>
      <c r="AD124" s="223"/>
      <c r="AE124" s="223"/>
      <c r="AF124" s="223"/>
      <c r="AG124" s="223"/>
      <c r="AH124" s="223"/>
      <c r="AI124" s="223"/>
      <c r="AJ124" s="223"/>
      <c r="AK124" s="223"/>
      <c r="AL124" s="223"/>
      <c r="AM124" s="223"/>
      <c r="AN124" s="223"/>
      <c r="AO124" s="223"/>
      <c r="AP124" s="223"/>
      <c r="AQ124" s="223"/>
      <c r="AR124" s="223"/>
      <c r="AS124" s="223"/>
      <c r="AT124" s="223"/>
      <c r="AU124" s="223"/>
      <c r="AV124" s="223"/>
      <c r="AW124" s="223"/>
      <c r="AX124" s="223"/>
      <c r="AY124" s="223"/>
      <c r="AZ124" s="223"/>
      <c r="BA124" s="223"/>
      <c r="BB124" s="223"/>
      <c r="BC124" s="223"/>
      <c r="BD124" s="223"/>
      <c r="BE124" s="223"/>
      <c r="BF124" s="223"/>
      <c r="BG124" s="223"/>
      <c r="BH124" s="223"/>
      <c r="BI124" s="223"/>
      <c r="BJ124" s="223"/>
      <c r="BK124" s="223"/>
      <c r="BL124" s="223"/>
      <c r="BM124" s="223"/>
      <c r="BN124" s="223"/>
      <c r="BO124" s="185"/>
      <c r="BP124" s="185"/>
      <c r="BQ124" s="185"/>
      <c r="BR124" s="185"/>
      <c r="BS124" s="185"/>
    </row>
    <row r="125" spans="7:71" x14ac:dyDescent="0.2">
      <c r="G125" s="185">
        <v>91</v>
      </c>
      <c r="H125" s="223">
        <v>4</v>
      </c>
      <c r="I125" s="223">
        <v>2</v>
      </c>
      <c r="J125" s="223">
        <v>5</v>
      </c>
      <c r="K125" s="223">
        <v>5</v>
      </c>
      <c r="L125" s="223">
        <v>5</v>
      </c>
      <c r="M125" s="223">
        <v>5</v>
      </c>
      <c r="N125" s="223">
        <v>5</v>
      </c>
      <c r="O125" s="223">
        <v>5</v>
      </c>
      <c r="P125" s="223">
        <v>5</v>
      </c>
      <c r="Q125" s="223">
        <v>6</v>
      </c>
      <c r="R125" s="223">
        <v>5</v>
      </c>
      <c r="S125" s="223">
        <v>5</v>
      </c>
      <c r="T125" s="223">
        <v>5</v>
      </c>
      <c r="U125" s="223">
        <v>2</v>
      </c>
      <c r="V125" s="223">
        <v>2</v>
      </c>
      <c r="W125" s="223">
        <v>2</v>
      </c>
      <c r="X125" s="223">
        <v>5</v>
      </c>
      <c r="Y125" s="223">
        <v>5</v>
      </c>
      <c r="Z125" s="223">
        <v>5</v>
      </c>
      <c r="AA125" s="223">
        <v>6</v>
      </c>
      <c r="AB125" s="223">
        <v>5</v>
      </c>
      <c r="AC125" s="223"/>
      <c r="AD125" s="223"/>
      <c r="AE125" s="223"/>
      <c r="AF125" s="223"/>
      <c r="AG125" s="223"/>
      <c r="AH125" s="223"/>
      <c r="AI125" s="223"/>
      <c r="AJ125" s="223"/>
      <c r="AK125" s="223"/>
      <c r="AL125" s="223"/>
      <c r="AM125" s="223"/>
      <c r="AN125" s="223"/>
      <c r="AO125" s="223"/>
      <c r="AP125" s="223"/>
      <c r="AQ125" s="223"/>
      <c r="AR125" s="223"/>
      <c r="AS125" s="223"/>
      <c r="AT125" s="223"/>
      <c r="AU125" s="223"/>
      <c r="AV125" s="223"/>
      <c r="AW125" s="223"/>
      <c r="AX125" s="223"/>
      <c r="AY125" s="223"/>
      <c r="AZ125" s="223"/>
      <c r="BA125" s="223"/>
      <c r="BB125" s="223"/>
      <c r="BC125" s="223"/>
      <c r="BD125" s="223"/>
      <c r="BE125" s="223"/>
      <c r="BF125" s="223"/>
      <c r="BG125" s="223"/>
      <c r="BH125" s="223"/>
      <c r="BI125" s="223"/>
      <c r="BJ125" s="223"/>
      <c r="BK125" s="223"/>
      <c r="BL125" s="223"/>
      <c r="BM125" s="223"/>
      <c r="BN125" s="223"/>
      <c r="BO125" s="185"/>
      <c r="BP125" s="185"/>
      <c r="BQ125" s="185"/>
      <c r="BR125" s="185"/>
      <c r="BS125" s="185"/>
    </row>
    <row r="126" spans="7:71" x14ac:dyDescent="0.2">
      <c r="G126" s="185">
        <v>92</v>
      </c>
      <c r="H126" s="223">
        <v>4</v>
      </c>
      <c r="I126" s="223">
        <v>2</v>
      </c>
      <c r="J126" s="223">
        <v>5</v>
      </c>
      <c r="K126" s="223">
        <v>5</v>
      </c>
      <c r="L126" s="223">
        <v>5</v>
      </c>
      <c r="M126" s="223">
        <v>5</v>
      </c>
      <c r="N126" s="223">
        <v>5</v>
      </c>
      <c r="O126" s="223">
        <v>5</v>
      </c>
      <c r="P126" s="223">
        <v>5</v>
      </c>
      <c r="Q126" s="223">
        <v>6</v>
      </c>
      <c r="R126" s="223">
        <v>5</v>
      </c>
      <c r="S126" s="223">
        <v>5</v>
      </c>
      <c r="T126" s="223">
        <v>5</v>
      </c>
      <c r="U126" s="223">
        <v>2</v>
      </c>
      <c r="V126" s="223">
        <v>2</v>
      </c>
      <c r="W126" s="223">
        <v>2</v>
      </c>
      <c r="X126" s="223">
        <v>5</v>
      </c>
      <c r="Y126" s="223">
        <v>5</v>
      </c>
      <c r="Z126" s="223">
        <v>5</v>
      </c>
      <c r="AA126" s="223">
        <v>6</v>
      </c>
      <c r="AB126" s="223">
        <v>5</v>
      </c>
      <c r="AC126" s="223"/>
      <c r="AD126" s="223"/>
      <c r="AE126" s="223"/>
      <c r="AF126" s="223"/>
      <c r="AG126" s="223"/>
      <c r="AH126" s="223"/>
      <c r="AI126" s="223"/>
      <c r="AJ126" s="223"/>
      <c r="AK126" s="223"/>
      <c r="AL126" s="223"/>
      <c r="AM126" s="223"/>
      <c r="AN126" s="223"/>
      <c r="AO126" s="223"/>
      <c r="AP126" s="223"/>
      <c r="AQ126" s="223"/>
      <c r="AR126" s="223"/>
      <c r="AS126" s="223"/>
      <c r="AT126" s="223"/>
      <c r="AU126" s="223"/>
      <c r="AV126" s="223"/>
      <c r="AW126" s="223"/>
      <c r="AX126" s="223"/>
      <c r="AY126" s="223"/>
      <c r="AZ126" s="223"/>
      <c r="BA126" s="223"/>
      <c r="BB126" s="223"/>
      <c r="BC126" s="223"/>
      <c r="BD126" s="223"/>
      <c r="BE126" s="223"/>
      <c r="BF126" s="223"/>
      <c r="BG126" s="223"/>
      <c r="BH126" s="223"/>
      <c r="BI126" s="223"/>
      <c r="BJ126" s="223"/>
      <c r="BK126" s="223"/>
      <c r="BL126" s="223"/>
      <c r="BM126" s="223"/>
      <c r="BN126" s="223"/>
      <c r="BO126" s="185"/>
      <c r="BP126" s="185"/>
      <c r="BQ126" s="185"/>
      <c r="BR126" s="185"/>
      <c r="BS126" s="185"/>
    </row>
    <row r="127" spans="7:71" x14ac:dyDescent="0.2">
      <c r="G127" s="185">
        <v>93</v>
      </c>
      <c r="H127" s="223">
        <v>4</v>
      </c>
      <c r="I127" s="223">
        <v>2</v>
      </c>
      <c r="J127" s="223">
        <v>6</v>
      </c>
      <c r="K127" s="223">
        <v>5</v>
      </c>
      <c r="L127" s="223">
        <v>5</v>
      </c>
      <c r="M127" s="223">
        <v>5</v>
      </c>
      <c r="N127" s="223">
        <v>5</v>
      </c>
      <c r="O127" s="223">
        <v>5</v>
      </c>
      <c r="P127" s="223">
        <v>5</v>
      </c>
      <c r="Q127" s="223">
        <v>6</v>
      </c>
      <c r="R127" s="223">
        <v>5</v>
      </c>
      <c r="S127" s="223">
        <v>5</v>
      </c>
      <c r="T127" s="223">
        <v>5</v>
      </c>
      <c r="U127" s="223">
        <v>2</v>
      </c>
      <c r="V127" s="223">
        <v>2</v>
      </c>
      <c r="W127" s="223">
        <v>2</v>
      </c>
      <c r="X127" s="223">
        <v>6</v>
      </c>
      <c r="Y127" s="223">
        <v>6</v>
      </c>
      <c r="Z127" s="223">
        <v>5</v>
      </c>
      <c r="AA127" s="223">
        <v>6</v>
      </c>
      <c r="AB127" s="223">
        <v>5</v>
      </c>
      <c r="AC127" s="223"/>
      <c r="AD127" s="223"/>
      <c r="AE127" s="223"/>
      <c r="AF127" s="223"/>
      <c r="AG127" s="223"/>
      <c r="AH127" s="223"/>
      <c r="AI127" s="223"/>
      <c r="AJ127" s="223"/>
      <c r="AK127" s="223"/>
      <c r="AL127" s="223"/>
      <c r="AM127" s="223"/>
      <c r="AN127" s="223"/>
      <c r="AO127" s="223"/>
      <c r="AP127" s="223"/>
      <c r="AQ127" s="223"/>
      <c r="AR127" s="223"/>
      <c r="AS127" s="223"/>
      <c r="AT127" s="223"/>
      <c r="AU127" s="223"/>
      <c r="AV127" s="223"/>
      <c r="AW127" s="223"/>
      <c r="AX127" s="223"/>
      <c r="AY127" s="223"/>
      <c r="AZ127" s="223"/>
      <c r="BA127" s="223"/>
      <c r="BB127" s="223"/>
      <c r="BC127" s="223"/>
      <c r="BD127" s="223"/>
      <c r="BE127" s="223"/>
      <c r="BF127" s="223"/>
      <c r="BG127" s="223"/>
      <c r="BH127" s="223"/>
      <c r="BI127" s="223"/>
      <c r="BJ127" s="223"/>
      <c r="BK127" s="223"/>
      <c r="BL127" s="223"/>
      <c r="BM127" s="223"/>
      <c r="BN127" s="223"/>
      <c r="BO127" s="185"/>
      <c r="BP127" s="185"/>
      <c r="BQ127" s="185"/>
      <c r="BR127" s="185"/>
      <c r="BS127" s="185"/>
    </row>
    <row r="128" spans="7:71" x14ac:dyDescent="0.2">
      <c r="G128" s="185">
        <v>94</v>
      </c>
      <c r="H128" s="223">
        <v>4</v>
      </c>
      <c r="I128" s="223">
        <v>2</v>
      </c>
      <c r="J128" s="223">
        <v>6</v>
      </c>
      <c r="K128" s="223">
        <v>5</v>
      </c>
      <c r="L128" s="223">
        <v>5</v>
      </c>
      <c r="M128" s="223">
        <v>5</v>
      </c>
      <c r="N128" s="223">
        <v>5</v>
      </c>
      <c r="O128" s="223">
        <v>5</v>
      </c>
      <c r="P128" s="223">
        <v>5</v>
      </c>
      <c r="Q128" s="223">
        <v>6</v>
      </c>
      <c r="R128" s="223">
        <v>5</v>
      </c>
      <c r="S128" s="223">
        <v>5</v>
      </c>
      <c r="T128" s="223">
        <v>5</v>
      </c>
      <c r="U128" s="223">
        <v>2</v>
      </c>
      <c r="V128" s="223">
        <v>2</v>
      </c>
      <c r="W128" s="223">
        <v>2</v>
      </c>
      <c r="X128" s="223">
        <v>6</v>
      </c>
      <c r="Y128" s="223">
        <v>6</v>
      </c>
      <c r="Z128" s="223">
        <v>5</v>
      </c>
      <c r="AA128" s="223">
        <v>6</v>
      </c>
      <c r="AB128" s="223">
        <v>5</v>
      </c>
      <c r="AC128" s="223"/>
      <c r="AD128" s="223"/>
      <c r="AE128" s="223"/>
      <c r="AF128" s="223"/>
      <c r="AG128" s="223"/>
      <c r="AH128" s="223"/>
      <c r="AI128" s="223"/>
      <c r="AJ128" s="223"/>
      <c r="AK128" s="223"/>
      <c r="AL128" s="223"/>
      <c r="AM128" s="223"/>
      <c r="AN128" s="223"/>
      <c r="AO128" s="223"/>
      <c r="AP128" s="223"/>
      <c r="AQ128" s="223"/>
      <c r="AR128" s="223"/>
      <c r="AS128" s="223"/>
      <c r="AT128" s="223"/>
      <c r="AU128" s="223"/>
      <c r="AV128" s="223"/>
      <c r="AW128" s="223"/>
      <c r="AX128" s="223"/>
      <c r="AY128" s="223"/>
      <c r="AZ128" s="223"/>
      <c r="BA128" s="223"/>
      <c r="BB128" s="223"/>
      <c r="BC128" s="223"/>
      <c r="BD128" s="223"/>
      <c r="BE128" s="223"/>
      <c r="BF128" s="223"/>
      <c r="BG128" s="223"/>
      <c r="BH128" s="223"/>
      <c r="BI128" s="223"/>
      <c r="BJ128" s="223"/>
      <c r="BK128" s="223"/>
      <c r="BL128" s="223"/>
      <c r="BM128" s="223"/>
      <c r="BN128" s="223"/>
      <c r="BO128" s="185"/>
      <c r="BP128" s="185"/>
      <c r="BQ128" s="185"/>
      <c r="BR128" s="185"/>
      <c r="BS128" s="185"/>
    </row>
    <row r="129" spans="7:71" x14ac:dyDescent="0.2">
      <c r="G129" s="185">
        <v>95</v>
      </c>
      <c r="H129" s="223">
        <v>5</v>
      </c>
      <c r="I129" s="223">
        <v>2</v>
      </c>
      <c r="J129" s="223">
        <v>6</v>
      </c>
      <c r="K129" s="223">
        <v>6</v>
      </c>
      <c r="L129" s="223">
        <v>6</v>
      </c>
      <c r="M129" s="223">
        <v>6</v>
      </c>
      <c r="N129" s="223">
        <v>6</v>
      </c>
      <c r="O129" s="223">
        <v>6</v>
      </c>
      <c r="P129" s="223">
        <v>5</v>
      </c>
      <c r="Q129" s="223">
        <v>7</v>
      </c>
      <c r="R129" s="223">
        <v>6</v>
      </c>
      <c r="S129" s="223">
        <v>6</v>
      </c>
      <c r="T129" s="223">
        <v>6</v>
      </c>
      <c r="U129" s="223">
        <v>2</v>
      </c>
      <c r="V129" s="223">
        <v>2</v>
      </c>
      <c r="W129" s="223">
        <v>2</v>
      </c>
      <c r="X129" s="223">
        <v>6</v>
      </c>
      <c r="Y129" s="223">
        <v>6</v>
      </c>
      <c r="Z129" s="223">
        <v>5</v>
      </c>
      <c r="AA129" s="223">
        <v>7</v>
      </c>
      <c r="AB129" s="223">
        <v>5</v>
      </c>
      <c r="AC129" s="223"/>
      <c r="AD129" s="223"/>
      <c r="AE129" s="223"/>
      <c r="AF129" s="223"/>
      <c r="AG129" s="223"/>
      <c r="AH129" s="223"/>
      <c r="AI129" s="223"/>
      <c r="AJ129" s="223"/>
      <c r="AK129" s="223"/>
      <c r="AL129" s="223"/>
      <c r="AM129" s="223"/>
      <c r="AN129" s="223"/>
      <c r="AO129" s="223"/>
      <c r="AP129" s="223"/>
      <c r="AQ129" s="223"/>
      <c r="AR129" s="223"/>
      <c r="AS129" s="223"/>
      <c r="AT129" s="223"/>
      <c r="AU129" s="223"/>
      <c r="AV129" s="223"/>
      <c r="AW129" s="223"/>
      <c r="AX129" s="223"/>
      <c r="AY129" s="223"/>
      <c r="AZ129" s="223"/>
      <c r="BA129" s="223"/>
      <c r="BB129" s="223"/>
      <c r="BC129" s="223"/>
      <c r="BD129" s="223"/>
      <c r="BE129" s="223"/>
      <c r="BF129" s="223"/>
      <c r="BG129" s="223"/>
      <c r="BH129" s="223"/>
      <c r="BI129" s="223"/>
      <c r="BJ129" s="223"/>
      <c r="BK129" s="223"/>
      <c r="BL129" s="223"/>
      <c r="BM129" s="223"/>
      <c r="BN129" s="223"/>
      <c r="BO129" s="185"/>
      <c r="BP129" s="185"/>
      <c r="BQ129" s="185"/>
      <c r="BR129" s="185"/>
      <c r="BS129" s="185"/>
    </row>
    <row r="130" spans="7:71" x14ac:dyDescent="0.2">
      <c r="G130" s="185">
        <v>96</v>
      </c>
      <c r="H130" s="223">
        <v>5</v>
      </c>
      <c r="I130" s="223">
        <v>3</v>
      </c>
      <c r="J130" s="223">
        <v>7</v>
      </c>
      <c r="K130" s="223">
        <v>6</v>
      </c>
      <c r="L130" s="223">
        <v>6</v>
      </c>
      <c r="M130" s="223">
        <v>6</v>
      </c>
      <c r="N130" s="223">
        <v>6</v>
      </c>
      <c r="O130" s="223">
        <v>6</v>
      </c>
      <c r="P130" s="223">
        <v>5</v>
      </c>
      <c r="Q130" s="223">
        <v>7</v>
      </c>
      <c r="R130" s="223">
        <v>6</v>
      </c>
      <c r="S130" s="223">
        <v>6</v>
      </c>
      <c r="T130" s="223">
        <v>6</v>
      </c>
      <c r="U130" s="223">
        <v>3</v>
      </c>
      <c r="V130" s="223">
        <v>3</v>
      </c>
      <c r="W130" s="223">
        <v>3</v>
      </c>
      <c r="X130" s="223">
        <v>7</v>
      </c>
      <c r="Y130" s="223">
        <v>7</v>
      </c>
      <c r="Z130" s="223">
        <v>5</v>
      </c>
      <c r="AA130" s="223">
        <v>7</v>
      </c>
      <c r="AB130" s="223">
        <v>5</v>
      </c>
      <c r="AC130" s="223"/>
      <c r="AD130" s="223"/>
      <c r="AE130" s="223"/>
      <c r="AF130" s="223"/>
      <c r="AG130" s="223"/>
      <c r="AH130" s="223"/>
      <c r="AI130" s="223"/>
      <c r="AJ130" s="223"/>
      <c r="AK130" s="223"/>
      <c r="AL130" s="223"/>
      <c r="AM130" s="223"/>
      <c r="AN130" s="223"/>
      <c r="AO130" s="223"/>
      <c r="AP130" s="223"/>
      <c r="AQ130" s="223"/>
      <c r="AR130" s="223"/>
      <c r="AS130" s="223"/>
      <c r="AT130" s="223"/>
      <c r="AU130" s="223"/>
      <c r="AV130" s="223"/>
      <c r="AW130" s="223"/>
      <c r="AX130" s="223"/>
      <c r="AY130" s="223"/>
      <c r="AZ130" s="223"/>
      <c r="BA130" s="223"/>
      <c r="BB130" s="223"/>
      <c r="BC130" s="223"/>
      <c r="BD130" s="223"/>
      <c r="BE130" s="223"/>
      <c r="BF130" s="223"/>
      <c r="BG130" s="223"/>
      <c r="BH130" s="223"/>
      <c r="BI130" s="223"/>
      <c r="BJ130" s="223"/>
      <c r="BK130" s="223"/>
      <c r="BL130" s="223"/>
      <c r="BM130" s="223"/>
      <c r="BN130" s="223"/>
      <c r="BO130" s="185"/>
      <c r="BP130" s="185"/>
      <c r="BQ130" s="185"/>
      <c r="BR130" s="185"/>
      <c r="BS130" s="185"/>
    </row>
    <row r="131" spans="7:71" x14ac:dyDescent="0.2">
      <c r="G131" s="185">
        <v>97</v>
      </c>
      <c r="H131" s="223">
        <v>5</v>
      </c>
      <c r="I131" s="223">
        <v>3</v>
      </c>
      <c r="J131" s="223">
        <v>7</v>
      </c>
      <c r="K131" s="223">
        <v>6</v>
      </c>
      <c r="L131" s="223">
        <v>6</v>
      </c>
      <c r="M131" s="223">
        <v>6</v>
      </c>
      <c r="N131" s="223">
        <v>6</v>
      </c>
      <c r="O131" s="223">
        <v>6</v>
      </c>
      <c r="P131" s="223">
        <v>6</v>
      </c>
      <c r="Q131" s="223">
        <v>8</v>
      </c>
      <c r="R131" s="223">
        <v>6</v>
      </c>
      <c r="S131" s="223">
        <v>6</v>
      </c>
      <c r="T131" s="223">
        <v>6</v>
      </c>
      <c r="U131" s="223">
        <v>3</v>
      </c>
      <c r="V131" s="223">
        <v>3</v>
      </c>
      <c r="W131" s="223">
        <v>3</v>
      </c>
      <c r="X131" s="223">
        <v>7</v>
      </c>
      <c r="Y131" s="223">
        <v>7</v>
      </c>
      <c r="Z131" s="223">
        <v>6</v>
      </c>
      <c r="AA131" s="223">
        <v>8</v>
      </c>
      <c r="AB131" s="223">
        <v>6</v>
      </c>
      <c r="AC131" s="223"/>
      <c r="AD131" s="223"/>
      <c r="AE131" s="223"/>
      <c r="AF131" s="223"/>
      <c r="AG131" s="223"/>
      <c r="AH131" s="223"/>
      <c r="AI131" s="223"/>
      <c r="AJ131" s="223"/>
      <c r="AK131" s="223"/>
      <c r="AL131" s="223"/>
      <c r="AM131" s="223"/>
      <c r="AN131" s="223"/>
      <c r="AO131" s="223"/>
      <c r="AP131" s="223"/>
      <c r="AQ131" s="223"/>
      <c r="AR131" s="223"/>
      <c r="AS131" s="223"/>
      <c r="AT131" s="223"/>
      <c r="AU131" s="223"/>
      <c r="AV131" s="223"/>
      <c r="AW131" s="223"/>
      <c r="AX131" s="223"/>
      <c r="AY131" s="223"/>
      <c r="AZ131" s="223"/>
      <c r="BA131" s="223"/>
      <c r="BB131" s="223"/>
      <c r="BC131" s="223"/>
      <c r="BD131" s="223"/>
      <c r="BE131" s="223"/>
      <c r="BF131" s="223"/>
      <c r="BG131" s="223"/>
      <c r="BH131" s="223"/>
      <c r="BI131" s="223"/>
      <c r="BJ131" s="223"/>
      <c r="BK131" s="223"/>
      <c r="BL131" s="223"/>
      <c r="BM131" s="223"/>
      <c r="BN131" s="223"/>
      <c r="BO131" s="185"/>
      <c r="BP131" s="185"/>
      <c r="BQ131" s="185"/>
      <c r="BR131" s="185"/>
      <c r="BS131" s="185"/>
    </row>
    <row r="132" spans="7:71" x14ac:dyDescent="0.2">
      <c r="G132" s="185">
        <v>98</v>
      </c>
      <c r="H132" s="223">
        <v>6</v>
      </c>
      <c r="I132" s="223">
        <v>4</v>
      </c>
      <c r="J132" s="223">
        <v>8</v>
      </c>
      <c r="K132" s="223">
        <v>7</v>
      </c>
      <c r="L132" s="223">
        <v>7</v>
      </c>
      <c r="M132" s="223">
        <v>7</v>
      </c>
      <c r="N132" s="223">
        <v>7</v>
      </c>
      <c r="O132" s="223">
        <v>7</v>
      </c>
      <c r="P132" s="223">
        <v>6</v>
      </c>
      <c r="Q132" s="223">
        <v>8</v>
      </c>
      <c r="R132" s="223">
        <v>7</v>
      </c>
      <c r="S132" s="223">
        <v>7</v>
      </c>
      <c r="T132" s="223">
        <v>7</v>
      </c>
      <c r="U132" s="223">
        <v>4</v>
      </c>
      <c r="V132" s="223">
        <v>4</v>
      </c>
      <c r="W132" s="223">
        <v>4</v>
      </c>
      <c r="X132" s="223">
        <v>8</v>
      </c>
      <c r="Y132" s="223">
        <v>8</v>
      </c>
      <c r="Z132" s="223">
        <v>6</v>
      </c>
      <c r="AA132" s="223">
        <v>8</v>
      </c>
      <c r="AB132" s="223">
        <v>6</v>
      </c>
      <c r="AC132" s="223"/>
      <c r="AD132" s="223"/>
      <c r="AE132" s="223"/>
      <c r="AF132" s="223"/>
      <c r="AG132" s="223"/>
      <c r="AH132" s="223"/>
      <c r="AI132" s="223"/>
      <c r="AJ132" s="223"/>
      <c r="AK132" s="223"/>
      <c r="AL132" s="223"/>
      <c r="AM132" s="223"/>
      <c r="AN132" s="223"/>
      <c r="AO132" s="223"/>
      <c r="AP132" s="223"/>
      <c r="AQ132" s="223"/>
      <c r="AR132" s="223"/>
      <c r="AS132" s="223"/>
      <c r="AT132" s="223"/>
      <c r="AU132" s="223"/>
      <c r="AV132" s="223"/>
      <c r="AW132" s="223"/>
      <c r="AX132" s="223"/>
      <c r="AY132" s="223"/>
      <c r="AZ132" s="223"/>
      <c r="BA132" s="223"/>
      <c r="BB132" s="223"/>
      <c r="BC132" s="223"/>
      <c r="BD132" s="223"/>
      <c r="BE132" s="223"/>
      <c r="BF132" s="223"/>
      <c r="BG132" s="223"/>
      <c r="BH132" s="223"/>
      <c r="BI132" s="223"/>
      <c r="BJ132" s="223"/>
      <c r="BK132" s="223"/>
      <c r="BL132" s="223"/>
      <c r="BM132" s="223"/>
      <c r="BN132" s="223"/>
      <c r="BO132" s="185"/>
      <c r="BP132" s="185"/>
      <c r="BQ132" s="185"/>
      <c r="BR132" s="185"/>
      <c r="BS132" s="185"/>
    </row>
    <row r="133" spans="7:71" x14ac:dyDescent="0.2">
      <c r="G133" s="185">
        <v>99</v>
      </c>
      <c r="H133" s="223">
        <v>6</v>
      </c>
      <c r="I133" s="223">
        <v>4</v>
      </c>
      <c r="J133" s="223">
        <v>9</v>
      </c>
      <c r="K133" s="223">
        <v>8</v>
      </c>
      <c r="L133" s="223">
        <v>8</v>
      </c>
      <c r="M133" s="223">
        <v>8</v>
      </c>
      <c r="N133" s="223">
        <v>8</v>
      </c>
      <c r="O133" s="223">
        <v>8</v>
      </c>
      <c r="P133" s="223">
        <v>7</v>
      </c>
      <c r="Q133" s="223">
        <v>9</v>
      </c>
      <c r="R133" s="223">
        <v>8</v>
      </c>
      <c r="S133" s="223">
        <v>8</v>
      </c>
      <c r="T133" s="223">
        <v>8</v>
      </c>
      <c r="U133" s="223">
        <v>4</v>
      </c>
      <c r="V133" s="223">
        <v>4</v>
      </c>
      <c r="W133" s="223">
        <v>4</v>
      </c>
      <c r="X133" s="223">
        <v>9</v>
      </c>
      <c r="Y133" s="223">
        <v>9</v>
      </c>
      <c r="Z133" s="223">
        <v>7</v>
      </c>
      <c r="AA133" s="223">
        <v>9</v>
      </c>
      <c r="AB133" s="223">
        <v>7</v>
      </c>
      <c r="AC133" s="223"/>
      <c r="AD133" s="223"/>
      <c r="AE133" s="223"/>
      <c r="AF133" s="223"/>
      <c r="AG133" s="223"/>
      <c r="AH133" s="223"/>
      <c r="AI133" s="223"/>
      <c r="AJ133" s="223"/>
      <c r="AK133" s="223"/>
      <c r="AL133" s="223"/>
      <c r="AM133" s="223"/>
      <c r="AN133" s="223"/>
      <c r="AO133" s="223"/>
      <c r="AP133" s="223"/>
      <c r="AQ133" s="223"/>
      <c r="AR133" s="223"/>
      <c r="AS133" s="223"/>
      <c r="AT133" s="223"/>
      <c r="AU133" s="223"/>
      <c r="AV133" s="223"/>
      <c r="AW133" s="223"/>
      <c r="AX133" s="223"/>
      <c r="AY133" s="223"/>
      <c r="AZ133" s="223"/>
      <c r="BA133" s="223"/>
      <c r="BB133" s="223"/>
      <c r="BC133" s="223"/>
      <c r="BD133" s="223"/>
      <c r="BE133" s="223"/>
      <c r="BF133" s="223"/>
      <c r="BG133" s="223"/>
      <c r="BH133" s="223"/>
      <c r="BI133" s="223"/>
      <c r="BJ133" s="223"/>
      <c r="BK133" s="223"/>
      <c r="BL133" s="223"/>
      <c r="BM133" s="223"/>
      <c r="BN133" s="223"/>
      <c r="BO133" s="185"/>
      <c r="BP133" s="185"/>
      <c r="BQ133" s="185"/>
      <c r="BR133" s="185"/>
      <c r="BS133" s="185"/>
    </row>
    <row r="134" spans="7:71" x14ac:dyDescent="0.2">
      <c r="G134" s="185">
        <v>100</v>
      </c>
      <c r="H134" s="223">
        <v>7</v>
      </c>
      <c r="I134" s="223">
        <v>5</v>
      </c>
      <c r="J134" s="223">
        <v>10</v>
      </c>
      <c r="K134" s="223">
        <v>9</v>
      </c>
      <c r="L134" s="223">
        <v>9</v>
      </c>
      <c r="M134" s="223">
        <v>9</v>
      </c>
      <c r="N134" s="223">
        <v>9</v>
      </c>
      <c r="O134" s="223">
        <v>9</v>
      </c>
      <c r="P134" s="223">
        <v>8</v>
      </c>
      <c r="Q134" s="223">
        <v>10</v>
      </c>
      <c r="R134" s="223">
        <v>9</v>
      </c>
      <c r="S134" s="223">
        <v>9</v>
      </c>
      <c r="T134" s="223">
        <v>9</v>
      </c>
      <c r="U134" s="223">
        <v>5</v>
      </c>
      <c r="V134" s="223">
        <v>5</v>
      </c>
      <c r="W134" s="223">
        <v>5</v>
      </c>
      <c r="X134" s="223">
        <v>10</v>
      </c>
      <c r="Y134" s="223">
        <v>10</v>
      </c>
      <c r="Z134" s="223">
        <v>8</v>
      </c>
      <c r="AA134" s="223">
        <v>10</v>
      </c>
      <c r="AB134" s="223">
        <v>8</v>
      </c>
      <c r="AC134" s="223"/>
      <c r="AD134" s="223"/>
      <c r="AE134" s="223"/>
      <c r="AF134" s="223"/>
      <c r="AG134" s="223"/>
      <c r="AH134" s="223"/>
      <c r="AI134" s="223"/>
      <c r="AJ134" s="223"/>
      <c r="AK134" s="223"/>
      <c r="AL134" s="223"/>
      <c r="AM134" s="223"/>
      <c r="AN134" s="223"/>
      <c r="AO134" s="223"/>
      <c r="AP134" s="223"/>
      <c r="AQ134" s="223"/>
      <c r="AR134" s="223"/>
      <c r="AS134" s="223"/>
      <c r="AT134" s="223"/>
      <c r="AU134" s="223"/>
      <c r="AV134" s="223"/>
      <c r="AW134" s="223"/>
      <c r="AX134" s="223"/>
      <c r="AY134" s="223"/>
      <c r="AZ134" s="223"/>
      <c r="BA134" s="223"/>
      <c r="BB134" s="223"/>
      <c r="BC134" s="223"/>
      <c r="BD134" s="223"/>
      <c r="BE134" s="223"/>
      <c r="BF134" s="223"/>
      <c r="BG134" s="223"/>
      <c r="BH134" s="223"/>
      <c r="BI134" s="223"/>
      <c r="BJ134" s="223"/>
      <c r="BK134" s="223"/>
      <c r="BL134" s="223"/>
      <c r="BM134" s="223"/>
      <c r="BN134" s="223"/>
      <c r="BO134" s="185"/>
      <c r="BP134" s="185"/>
      <c r="BQ134" s="185"/>
      <c r="BR134" s="185"/>
      <c r="BS134" s="185"/>
    </row>
    <row r="139" spans="7:71" x14ac:dyDescent="0.2">
      <c r="G139" s="185">
        <v>1</v>
      </c>
      <c r="H139" s="185">
        <v>2</v>
      </c>
      <c r="I139" s="223">
        <v>3</v>
      </c>
      <c r="J139" s="185">
        <v>4</v>
      </c>
      <c r="K139" s="223">
        <v>5</v>
      </c>
      <c r="L139" s="185">
        <v>6</v>
      </c>
      <c r="M139" s="223">
        <v>7</v>
      </c>
      <c r="N139" s="185">
        <v>8</v>
      </c>
      <c r="O139" s="223">
        <v>9</v>
      </c>
      <c r="P139" s="185">
        <v>10</v>
      </c>
      <c r="Q139" s="223">
        <v>11</v>
      </c>
      <c r="R139" s="185">
        <v>12</v>
      </c>
      <c r="S139" s="223">
        <v>13</v>
      </c>
      <c r="T139" s="185">
        <v>14</v>
      </c>
      <c r="U139" s="223">
        <v>15</v>
      </c>
      <c r="V139" s="185">
        <v>16</v>
      </c>
      <c r="W139" s="223">
        <v>17</v>
      </c>
      <c r="X139" s="185">
        <v>18</v>
      </c>
      <c r="Y139" s="174">
        <v>19</v>
      </c>
      <c r="Z139" s="174">
        <v>20</v>
      </c>
      <c r="AA139" s="174">
        <v>21</v>
      </c>
      <c r="AB139" s="174">
        <v>22</v>
      </c>
    </row>
    <row r="140" spans="7:71" x14ac:dyDescent="0.2">
      <c r="H140" s="174" t="s">
        <v>895</v>
      </c>
      <c r="I140" s="174" t="s">
        <v>4171</v>
      </c>
      <c r="J140" s="174" t="s">
        <v>960</v>
      </c>
      <c r="K140" s="174" t="s">
        <v>3521</v>
      </c>
      <c r="L140" s="174" t="s">
        <v>900</v>
      </c>
      <c r="M140" s="174" t="s">
        <v>907</v>
      </c>
      <c r="N140" s="174" t="s">
        <v>1034</v>
      </c>
      <c r="O140" s="174" t="s">
        <v>936</v>
      </c>
      <c r="P140" s="174" t="s">
        <v>1013</v>
      </c>
      <c r="Q140" s="174" t="s">
        <v>1011</v>
      </c>
      <c r="R140" s="174" t="s">
        <v>975</v>
      </c>
      <c r="S140" s="174" t="s">
        <v>911</v>
      </c>
      <c r="T140" s="174" t="s">
        <v>906</v>
      </c>
      <c r="U140" s="174" t="s">
        <v>4172</v>
      </c>
      <c r="V140" s="174" t="s">
        <v>4173</v>
      </c>
      <c r="W140" s="174" t="s">
        <v>1054</v>
      </c>
      <c r="X140" s="174" t="s">
        <v>961</v>
      </c>
      <c r="Y140" s="174" t="s">
        <v>962</v>
      </c>
      <c r="Z140" s="174" t="s">
        <v>3522</v>
      </c>
      <c r="AA140" s="174" t="s">
        <v>3523</v>
      </c>
      <c r="AB140" s="174" t="s">
        <v>3524</v>
      </c>
    </row>
    <row r="141" spans="7:71" x14ac:dyDescent="0.2">
      <c r="G141" s="174" t="s">
        <v>3548</v>
      </c>
      <c r="H141" s="174">
        <v>4</v>
      </c>
      <c r="I141" s="174">
        <v>6</v>
      </c>
      <c r="J141" s="174">
        <v>3</v>
      </c>
      <c r="K141" s="174">
        <v>5</v>
      </c>
      <c r="L141" s="174">
        <v>6</v>
      </c>
      <c r="M141" s="174">
        <v>5</v>
      </c>
      <c r="N141" s="174">
        <v>5</v>
      </c>
      <c r="O141" s="174">
        <v>6</v>
      </c>
      <c r="P141" s="174">
        <v>4</v>
      </c>
      <c r="Q141" s="174">
        <v>11</v>
      </c>
      <c r="R141" s="174">
        <v>4</v>
      </c>
      <c r="S141" s="174">
        <v>4</v>
      </c>
      <c r="T141" s="174">
        <v>5</v>
      </c>
      <c r="U141" s="174">
        <v>6</v>
      </c>
      <c r="V141" s="174">
        <v>6</v>
      </c>
      <c r="W141" s="174">
        <v>6</v>
      </c>
      <c r="X141" s="174">
        <v>3</v>
      </c>
      <c r="Y141" s="174">
        <v>3</v>
      </c>
      <c r="Z141" s="174">
        <v>5</v>
      </c>
      <c r="AA141" s="174">
        <v>7</v>
      </c>
      <c r="AB141" s="174">
        <v>5</v>
      </c>
    </row>
    <row r="142" spans="7:71" x14ac:dyDescent="0.2">
      <c r="G142" s="174" t="s">
        <v>3549</v>
      </c>
      <c r="H142" s="174">
        <v>9</v>
      </c>
      <c r="I142" s="174">
        <v>7</v>
      </c>
      <c r="J142" s="174">
        <v>5</v>
      </c>
      <c r="K142" s="174">
        <v>10</v>
      </c>
      <c r="L142" s="174">
        <v>1</v>
      </c>
      <c r="M142" s="174">
        <v>6</v>
      </c>
      <c r="N142" s="174">
        <v>5</v>
      </c>
      <c r="O142" s="174">
        <v>3</v>
      </c>
      <c r="P142" s="174">
        <v>0</v>
      </c>
      <c r="Q142" s="174">
        <v>0</v>
      </c>
      <c r="R142" s="174">
        <v>9</v>
      </c>
      <c r="S142" s="174">
        <v>9</v>
      </c>
      <c r="T142" s="174">
        <v>5</v>
      </c>
      <c r="U142" s="174">
        <v>5</v>
      </c>
      <c r="V142" s="174">
        <v>0</v>
      </c>
      <c r="W142" s="174">
        <v>3</v>
      </c>
      <c r="X142" s="174">
        <v>7</v>
      </c>
      <c r="Y142" s="174">
        <v>9</v>
      </c>
      <c r="Z142" s="174">
        <v>6</v>
      </c>
      <c r="AA142" s="174">
        <v>1</v>
      </c>
      <c r="AB142" s="174">
        <v>8</v>
      </c>
    </row>
    <row r="143" spans="7:71" x14ac:dyDescent="0.2">
      <c r="G143" s="174" t="s">
        <v>3550</v>
      </c>
      <c r="H143" s="174">
        <f t="shared" ref="H143:AB143" si="3">H141*0.3+H142*0.0254</f>
        <v>1.4285999999999999</v>
      </c>
      <c r="I143" s="174">
        <f t="shared" si="3"/>
        <v>1.9777999999999998</v>
      </c>
      <c r="J143" s="174">
        <f t="shared" si="3"/>
        <v>1.0269999999999999</v>
      </c>
      <c r="K143" s="174">
        <f t="shared" si="3"/>
        <v>1.754</v>
      </c>
      <c r="L143" s="174">
        <f t="shared" si="3"/>
        <v>1.8253999999999999</v>
      </c>
      <c r="M143" s="174">
        <f t="shared" si="3"/>
        <v>1.6524000000000001</v>
      </c>
      <c r="N143" s="174">
        <f t="shared" si="3"/>
        <v>1.627</v>
      </c>
      <c r="O143" s="174">
        <f t="shared" si="3"/>
        <v>1.8761999999999999</v>
      </c>
      <c r="P143" s="174">
        <f t="shared" si="3"/>
        <v>1.2</v>
      </c>
      <c r="Q143" s="174">
        <f t="shared" si="3"/>
        <v>3.3</v>
      </c>
      <c r="R143" s="174">
        <f t="shared" si="3"/>
        <v>1.4285999999999999</v>
      </c>
      <c r="S143" s="174">
        <f t="shared" si="3"/>
        <v>1.4285999999999999</v>
      </c>
      <c r="T143" s="174">
        <f t="shared" si="3"/>
        <v>1.627</v>
      </c>
      <c r="U143" s="174">
        <f t="shared" si="3"/>
        <v>1.9269999999999998</v>
      </c>
      <c r="V143" s="174">
        <f t="shared" si="3"/>
        <v>1.7999999999999998</v>
      </c>
      <c r="W143" s="174">
        <f t="shared" si="3"/>
        <v>1.8761999999999999</v>
      </c>
      <c r="X143" s="174">
        <f t="shared" si="3"/>
        <v>1.0777999999999999</v>
      </c>
      <c r="Y143" s="174">
        <f t="shared" si="3"/>
        <v>1.1285999999999998</v>
      </c>
      <c r="Z143" s="174">
        <f t="shared" si="3"/>
        <v>1.6524000000000001</v>
      </c>
      <c r="AA143" s="174">
        <f t="shared" si="3"/>
        <v>2.1254</v>
      </c>
      <c r="AB143" s="174">
        <f t="shared" si="3"/>
        <v>1.7032</v>
      </c>
    </row>
    <row r="145" spans="7:28" x14ac:dyDescent="0.2">
      <c r="G145" s="174" t="s">
        <v>3536</v>
      </c>
      <c r="H145" s="174">
        <v>150</v>
      </c>
      <c r="I145" s="174">
        <v>215</v>
      </c>
      <c r="J145" s="174">
        <v>54</v>
      </c>
      <c r="K145" s="174">
        <v>160</v>
      </c>
      <c r="L145" s="174">
        <v>195</v>
      </c>
      <c r="M145" s="174">
        <v>135</v>
      </c>
      <c r="N145" s="174">
        <v>130</v>
      </c>
      <c r="O145" s="174">
        <v>215</v>
      </c>
      <c r="P145" s="174">
        <v>65</v>
      </c>
      <c r="Q145" s="174">
        <v>850</v>
      </c>
      <c r="R145" s="174">
        <v>145</v>
      </c>
      <c r="S145" s="174">
        <v>150</v>
      </c>
      <c r="T145" s="174">
        <v>175</v>
      </c>
      <c r="U145" s="174">
        <v>190</v>
      </c>
      <c r="V145" s="174">
        <v>150</v>
      </c>
      <c r="W145" s="174">
        <v>190</v>
      </c>
      <c r="X145" s="174">
        <v>66</v>
      </c>
      <c r="Y145" s="174">
        <v>65</v>
      </c>
      <c r="Z145" s="174">
        <v>145</v>
      </c>
      <c r="AA145" s="174">
        <v>290</v>
      </c>
      <c r="AB145" s="174">
        <v>150</v>
      </c>
    </row>
    <row r="146" spans="7:28" x14ac:dyDescent="0.2">
      <c r="G146" s="174" t="s">
        <v>184</v>
      </c>
      <c r="H146" s="174">
        <f t="shared" ref="H146:AB146" si="4">H145*0.45</f>
        <v>67.5</v>
      </c>
      <c r="I146" s="174">
        <f t="shared" si="4"/>
        <v>96.75</v>
      </c>
      <c r="J146" s="174">
        <f t="shared" si="4"/>
        <v>24.3</v>
      </c>
      <c r="K146" s="174">
        <f t="shared" si="4"/>
        <v>72</v>
      </c>
      <c r="L146" s="174">
        <f t="shared" si="4"/>
        <v>87.75</v>
      </c>
      <c r="M146" s="174">
        <f t="shared" si="4"/>
        <v>60.75</v>
      </c>
      <c r="N146" s="174">
        <f t="shared" si="4"/>
        <v>58.5</v>
      </c>
      <c r="O146" s="174">
        <f t="shared" si="4"/>
        <v>96.75</v>
      </c>
      <c r="P146" s="174">
        <f t="shared" si="4"/>
        <v>29.25</v>
      </c>
      <c r="Q146" s="174">
        <f t="shared" si="4"/>
        <v>382.5</v>
      </c>
      <c r="R146" s="174">
        <f t="shared" si="4"/>
        <v>65.25</v>
      </c>
      <c r="S146" s="174">
        <f t="shared" si="4"/>
        <v>67.5</v>
      </c>
      <c r="T146" s="174">
        <f t="shared" si="4"/>
        <v>78.75</v>
      </c>
      <c r="U146" s="174">
        <f t="shared" si="4"/>
        <v>85.5</v>
      </c>
      <c r="V146" s="174">
        <f t="shared" si="4"/>
        <v>67.5</v>
      </c>
      <c r="W146" s="174">
        <f t="shared" si="4"/>
        <v>85.5</v>
      </c>
      <c r="X146" s="174">
        <f t="shared" si="4"/>
        <v>29.7</v>
      </c>
      <c r="Y146" s="174">
        <f t="shared" si="4"/>
        <v>29.25</v>
      </c>
      <c r="Z146" s="174">
        <f t="shared" si="4"/>
        <v>65.25</v>
      </c>
      <c r="AA146" s="174">
        <f t="shared" si="4"/>
        <v>130.5</v>
      </c>
      <c r="AB146" s="174">
        <f t="shared" si="4"/>
        <v>67.5</v>
      </c>
    </row>
    <row r="148" spans="7:28" x14ac:dyDescent="0.2">
      <c r="G148" s="182" t="s">
        <v>3551</v>
      </c>
      <c r="H148" s="224">
        <f t="shared" ref="H148:AB148" si="5">H146/H143</f>
        <v>47.249055018899625</v>
      </c>
      <c r="I148" s="224">
        <f t="shared" si="5"/>
        <v>48.917989685509156</v>
      </c>
      <c r="J148" s="224">
        <f t="shared" si="5"/>
        <v>23.661148977604675</v>
      </c>
      <c r="K148" s="224">
        <f t="shared" si="5"/>
        <v>41.049030786773088</v>
      </c>
      <c r="L148" s="224">
        <f t="shared" si="5"/>
        <v>48.071655527555606</v>
      </c>
      <c r="M148" s="224">
        <f t="shared" si="5"/>
        <v>36.764705882352942</v>
      </c>
      <c r="N148" s="224">
        <f t="shared" si="5"/>
        <v>35.955746773202215</v>
      </c>
      <c r="O148" s="224">
        <f t="shared" si="5"/>
        <v>51.566997121842022</v>
      </c>
      <c r="P148" s="224">
        <f t="shared" si="5"/>
        <v>24.375</v>
      </c>
      <c r="Q148" s="224">
        <f t="shared" si="5"/>
        <v>115.90909090909092</v>
      </c>
      <c r="R148" s="224">
        <f t="shared" si="5"/>
        <v>45.67408651826964</v>
      </c>
      <c r="S148" s="224">
        <f t="shared" si="5"/>
        <v>47.249055018899625</v>
      </c>
      <c r="T148" s="224">
        <f t="shared" si="5"/>
        <v>48.401966810079898</v>
      </c>
      <c r="U148" s="224">
        <f t="shared" si="5"/>
        <v>44.369486248053974</v>
      </c>
      <c r="V148" s="224">
        <f t="shared" si="5"/>
        <v>37.500000000000007</v>
      </c>
      <c r="W148" s="224">
        <f t="shared" si="5"/>
        <v>45.570834665813884</v>
      </c>
      <c r="X148" s="224">
        <f t="shared" si="5"/>
        <v>27.556132863239934</v>
      </c>
      <c r="Y148" s="224">
        <f t="shared" si="5"/>
        <v>25.917065390749606</v>
      </c>
      <c r="Z148" s="224">
        <f t="shared" si="5"/>
        <v>39.488017429193896</v>
      </c>
      <c r="AA148" s="224">
        <f t="shared" si="5"/>
        <v>61.400207019855088</v>
      </c>
      <c r="AB148" s="224">
        <f t="shared" si="5"/>
        <v>39.631282292155937</v>
      </c>
    </row>
    <row r="149" spans="7:28" x14ac:dyDescent="0.2">
      <c r="H149" s="204"/>
      <c r="I149" s="204"/>
      <c r="J149" s="204"/>
      <c r="K149" s="204"/>
      <c r="L149" s="204"/>
      <c r="M149" s="204"/>
      <c r="N149" s="204"/>
      <c r="O149" s="204"/>
      <c r="P149" s="204"/>
      <c r="Q149" s="204"/>
      <c r="R149" s="204"/>
      <c r="S149" s="204"/>
      <c r="T149" s="204"/>
      <c r="U149" s="204"/>
      <c r="V149" s="204"/>
      <c r="W149" s="204"/>
      <c r="X149" s="204"/>
      <c r="Y149" s="204"/>
      <c r="Z149" s="204"/>
      <c r="AA149" s="204"/>
      <c r="AB149" s="204"/>
    </row>
    <row r="150" spans="7:28" x14ac:dyDescent="0.2">
      <c r="H150" s="204"/>
      <c r="I150" s="204"/>
      <c r="J150" s="204"/>
      <c r="K150" s="204"/>
      <c r="L150" s="204"/>
      <c r="M150" s="204"/>
      <c r="N150" s="204"/>
      <c r="O150" s="204"/>
      <c r="P150" s="204"/>
      <c r="Q150" s="204"/>
      <c r="R150" s="204"/>
      <c r="S150" s="204"/>
      <c r="T150" s="204"/>
      <c r="U150" s="204"/>
      <c r="V150" s="204"/>
      <c r="W150" s="204"/>
      <c r="X150" s="204"/>
      <c r="Y150" s="204"/>
      <c r="Z150" s="204"/>
      <c r="AA150" s="204"/>
      <c r="AB150" s="204"/>
    </row>
    <row r="151" spans="7:28" x14ac:dyDescent="0.2">
      <c r="G151" s="174" t="s">
        <v>3552</v>
      </c>
      <c r="H151" s="204">
        <f t="shared" ref="H151:AB151" si="6">H148*(H143+0.0254)</f>
        <v>68.700125997480058</v>
      </c>
      <c r="I151" s="204">
        <f t="shared" si="6"/>
        <v>97.992516938011917</v>
      </c>
      <c r="J151" s="204">
        <f t="shared" si="6"/>
        <v>24.900993184031162</v>
      </c>
      <c r="K151" s="204">
        <f t="shared" si="6"/>
        <v>73.04264538198403</v>
      </c>
      <c r="L151" s="204">
        <f t="shared" si="6"/>
        <v>88.971020050399915</v>
      </c>
      <c r="M151" s="204">
        <f t="shared" si="6"/>
        <v>61.683823529411775</v>
      </c>
      <c r="N151" s="204">
        <f t="shared" si="6"/>
        <v>59.413275968039343</v>
      </c>
      <c r="O151" s="204">
        <f t="shared" si="6"/>
        <v>98.05980172689479</v>
      </c>
      <c r="P151" s="204">
        <f t="shared" si="6"/>
        <v>29.869125</v>
      </c>
      <c r="Q151" s="204">
        <f t="shared" si="6"/>
        <v>385.4440909090909</v>
      </c>
      <c r="R151" s="204">
        <f t="shared" si="6"/>
        <v>66.410121797564059</v>
      </c>
      <c r="S151" s="204">
        <f t="shared" si="6"/>
        <v>68.700125997480058</v>
      </c>
      <c r="T151" s="204">
        <f t="shared" si="6"/>
        <v>79.979409956976028</v>
      </c>
      <c r="U151" s="204">
        <f t="shared" si="6"/>
        <v>86.626984950700574</v>
      </c>
      <c r="V151" s="204">
        <f t="shared" si="6"/>
        <v>68.452500000000015</v>
      </c>
      <c r="W151" s="204">
        <f t="shared" si="6"/>
        <v>86.65749920051168</v>
      </c>
      <c r="X151" s="204">
        <f t="shared" si="6"/>
        <v>30.399925774726295</v>
      </c>
      <c r="Y151" s="204">
        <f t="shared" si="6"/>
        <v>29.908293460925044</v>
      </c>
      <c r="Z151" s="204">
        <f t="shared" si="6"/>
        <v>66.252995642701521</v>
      </c>
      <c r="AA151" s="204">
        <f t="shared" si="6"/>
        <v>132.0595652583043</v>
      </c>
      <c r="AB151" s="204">
        <f t="shared" si="6"/>
        <v>68.506634570220754</v>
      </c>
    </row>
    <row r="152" spans="7:28" x14ac:dyDescent="0.2">
      <c r="G152" s="182" t="s">
        <v>3553</v>
      </c>
      <c r="H152" s="224">
        <f t="shared" ref="H152:AB152" si="7">H151-H146</f>
        <v>1.2001259974800575</v>
      </c>
      <c r="I152" s="224">
        <f t="shared" si="7"/>
        <v>1.2425169380119172</v>
      </c>
      <c r="J152" s="224">
        <f t="shared" si="7"/>
        <v>0.60099318403116087</v>
      </c>
      <c r="K152" s="224">
        <f t="shared" si="7"/>
        <v>1.0426453819840305</v>
      </c>
      <c r="L152" s="224">
        <f t="shared" si="7"/>
        <v>1.2210200503999147</v>
      </c>
      <c r="M152" s="224">
        <f t="shared" si="7"/>
        <v>0.93382352941177516</v>
      </c>
      <c r="N152" s="224">
        <f t="shared" si="7"/>
        <v>0.91327596803934341</v>
      </c>
      <c r="O152" s="224">
        <f t="shared" si="7"/>
        <v>1.3098017268947899</v>
      </c>
      <c r="P152" s="224">
        <f t="shared" si="7"/>
        <v>0.61912500000000037</v>
      </c>
      <c r="Q152" s="224">
        <f t="shared" si="7"/>
        <v>2.9440909090909031</v>
      </c>
      <c r="R152" s="224">
        <f t="shared" si="7"/>
        <v>1.1601217975640594</v>
      </c>
      <c r="S152" s="224">
        <f t="shared" si="7"/>
        <v>1.2001259974800575</v>
      </c>
      <c r="T152" s="224">
        <f t="shared" si="7"/>
        <v>1.2294099569760277</v>
      </c>
      <c r="U152" s="224">
        <f t="shared" si="7"/>
        <v>1.1269849507005745</v>
      </c>
      <c r="V152" s="224">
        <f t="shared" si="7"/>
        <v>0.95250000000001478</v>
      </c>
      <c r="W152" s="224">
        <f t="shared" si="7"/>
        <v>1.1574992005116798</v>
      </c>
      <c r="X152" s="224">
        <f t="shared" si="7"/>
        <v>0.69992577472629591</v>
      </c>
      <c r="Y152" s="224">
        <f t="shared" si="7"/>
        <v>0.65829346092504437</v>
      </c>
      <c r="Z152" s="224">
        <f t="shared" si="7"/>
        <v>1.0029956427015208</v>
      </c>
      <c r="AA152" s="224">
        <f t="shared" si="7"/>
        <v>1.5595652583043034</v>
      </c>
      <c r="AB152" s="224">
        <f t="shared" si="7"/>
        <v>1.0066345702207542</v>
      </c>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Roman,Normaali"&amp;12&amp;A</oddHeader>
    <oddFooter>&amp;C&amp;"Times New Roman,Normaali"&amp;12Sivu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topLeftCell="A24" workbookViewId="0">
      <selection activeCell="S76" sqref="S76"/>
    </sheetView>
  </sheetViews>
  <sheetFormatPr defaultColWidth="11.5703125" defaultRowHeight="11.25" x14ac:dyDescent="0.2"/>
  <cols>
    <col min="1" max="1" width="7.85546875" style="1" customWidth="1"/>
    <col min="2" max="16384" width="11.5703125" style="2"/>
  </cols>
  <sheetData>
    <row r="1" spans="1:2" x14ac:dyDescent="0.2">
      <c r="A1" s="1" t="s">
        <v>0</v>
      </c>
    </row>
    <row r="3" spans="1:2" x14ac:dyDescent="0.2">
      <c r="A3" s="1" t="s">
        <v>1</v>
      </c>
      <c r="B3" s="2" t="s">
        <v>2</v>
      </c>
    </row>
    <row r="5" spans="1:2" x14ac:dyDescent="0.2">
      <c r="A5" s="1" t="s">
        <v>3</v>
      </c>
      <c r="B5" s="3" t="s">
        <v>4</v>
      </c>
    </row>
    <row r="6" spans="1:2" x14ac:dyDescent="0.2">
      <c r="A6" s="1" t="s">
        <v>5</v>
      </c>
      <c r="B6" s="3" t="s">
        <v>6</v>
      </c>
    </row>
    <row r="7" spans="1:2" x14ac:dyDescent="0.2">
      <c r="A7" s="1" t="s">
        <v>7</v>
      </c>
      <c r="B7" s="3" t="s">
        <v>8</v>
      </c>
    </row>
    <row r="8" spans="1:2" x14ac:dyDescent="0.2">
      <c r="A8" s="1" t="s">
        <v>9</v>
      </c>
      <c r="B8" s="3" t="s">
        <v>10</v>
      </c>
    </row>
    <row r="9" spans="1:2" x14ac:dyDescent="0.2">
      <c r="A9" s="1" t="s">
        <v>11</v>
      </c>
      <c r="B9" s="3" t="s">
        <v>12</v>
      </c>
    </row>
    <row r="10" spans="1:2" x14ac:dyDescent="0.2">
      <c r="A10" s="1" t="s">
        <v>13</v>
      </c>
      <c r="B10" s="4" t="s">
        <v>14</v>
      </c>
    </row>
    <row r="11" spans="1:2" x14ac:dyDescent="0.2">
      <c r="A11" s="1" t="s">
        <v>15</v>
      </c>
      <c r="B11" s="5" t="s">
        <v>16</v>
      </c>
    </row>
    <row r="12" spans="1:2" x14ac:dyDescent="0.2">
      <c r="A12" s="1" t="s">
        <v>17</v>
      </c>
      <c r="B12" s="5" t="s">
        <v>18</v>
      </c>
    </row>
    <row r="13" spans="1:2" x14ac:dyDescent="0.2">
      <c r="A13" s="1" t="s">
        <v>19</v>
      </c>
      <c r="B13" s="4" t="s">
        <v>20</v>
      </c>
    </row>
    <row r="14" spans="1:2" x14ac:dyDescent="0.2">
      <c r="B14" s="5"/>
    </row>
    <row r="15" spans="1:2" x14ac:dyDescent="0.2">
      <c r="A15" s="1" t="s">
        <v>21</v>
      </c>
      <c r="B15" s="2" t="s">
        <v>22</v>
      </c>
    </row>
    <row r="17" spans="1:12" x14ac:dyDescent="0.2">
      <c r="A17" s="1" t="s">
        <v>23</v>
      </c>
      <c r="B17" s="2" t="s">
        <v>24</v>
      </c>
    </row>
    <row r="18" spans="1:12" x14ac:dyDescent="0.2">
      <c r="A18" s="1" t="s">
        <v>25</v>
      </c>
      <c r="B18" s="2" t="s">
        <v>26</v>
      </c>
    </row>
    <row r="19" spans="1:12" x14ac:dyDescent="0.2">
      <c r="A19" s="1" t="s">
        <v>27</v>
      </c>
      <c r="B19" s="2" t="s">
        <v>28</v>
      </c>
    </row>
    <row r="20" spans="1:12" x14ac:dyDescent="0.2">
      <c r="A20" s="1" t="s">
        <v>29</v>
      </c>
      <c r="B20" s="2" t="s">
        <v>30</v>
      </c>
    </row>
    <row r="21" spans="1:12" x14ac:dyDescent="0.2">
      <c r="A21" s="1" t="s">
        <v>31</v>
      </c>
      <c r="B21" s="2" t="s">
        <v>32</v>
      </c>
    </row>
    <row r="22" spans="1:12" x14ac:dyDescent="0.2">
      <c r="A22" s="1" t="s">
        <v>33</v>
      </c>
      <c r="B22" s="3" t="s">
        <v>34</v>
      </c>
    </row>
    <row r="24" spans="1:12" x14ac:dyDescent="0.2">
      <c r="A24" s="1" t="s">
        <v>35</v>
      </c>
      <c r="B24" s="2" t="s">
        <v>36</v>
      </c>
    </row>
    <row r="25" spans="1:12" x14ac:dyDescent="0.2">
      <c r="A25" s="6" t="s">
        <v>37</v>
      </c>
      <c r="B25" s="7" t="s">
        <v>38</v>
      </c>
      <c r="C25" s="7"/>
      <c r="D25" s="7"/>
      <c r="E25" s="7"/>
      <c r="F25" s="7"/>
      <c r="G25" s="7"/>
      <c r="H25" s="7"/>
      <c r="I25" s="7"/>
      <c r="J25" s="7"/>
      <c r="K25" s="7"/>
      <c r="L25" s="7"/>
    </row>
    <row r="26" spans="1:12" x14ac:dyDescent="0.2">
      <c r="A26" s="1" t="s">
        <v>39</v>
      </c>
      <c r="B26" s="2" t="s">
        <v>40</v>
      </c>
    </row>
    <row r="27" spans="1:12" x14ac:dyDescent="0.2">
      <c r="A27" s="1" t="s">
        <v>41</v>
      </c>
      <c r="B27" s="2" t="s">
        <v>42</v>
      </c>
    </row>
    <row r="28" spans="1:12" x14ac:dyDescent="0.2">
      <c r="A28" s="1" t="s">
        <v>43</v>
      </c>
      <c r="B28" s="2" t="s">
        <v>44</v>
      </c>
    </row>
    <row r="30" spans="1:12" x14ac:dyDescent="0.2">
      <c r="A30" s="1" t="s">
        <v>45</v>
      </c>
      <c r="B30" s="3" t="s">
        <v>46</v>
      </c>
    </row>
    <row r="31" spans="1:12" x14ac:dyDescent="0.2">
      <c r="A31" s="1" t="s">
        <v>47</v>
      </c>
      <c r="B31" s="2" t="s">
        <v>48</v>
      </c>
    </row>
    <row r="32" spans="1:12" x14ac:dyDescent="0.2">
      <c r="A32" s="1" t="s">
        <v>49</v>
      </c>
      <c r="B32" s="2" t="s">
        <v>50</v>
      </c>
    </row>
    <row r="33" spans="1:2" x14ac:dyDescent="0.2">
      <c r="A33" s="1" t="s">
        <v>51</v>
      </c>
      <c r="B33" s="2" t="s">
        <v>52</v>
      </c>
    </row>
    <row r="34" spans="1:2" x14ac:dyDescent="0.2">
      <c r="A34" s="1" t="s">
        <v>53</v>
      </c>
      <c r="B34" s="3" t="s">
        <v>54</v>
      </c>
    </row>
    <row r="35" spans="1:2" x14ac:dyDescent="0.2">
      <c r="A35" s="1" t="s">
        <v>55</v>
      </c>
      <c r="B35" s="2" t="s">
        <v>56</v>
      </c>
    </row>
    <row r="36" spans="1:2" x14ac:dyDescent="0.2">
      <c r="A36" s="1" t="s">
        <v>57</v>
      </c>
      <c r="B36" s="2" t="s">
        <v>58</v>
      </c>
    </row>
    <row r="37" spans="1:2" x14ac:dyDescent="0.2">
      <c r="A37" s="1" t="s">
        <v>59</v>
      </c>
      <c r="B37" s="2" t="s">
        <v>60</v>
      </c>
    </row>
    <row r="38" spans="1:2" x14ac:dyDescent="0.2">
      <c r="A38" s="1" t="s">
        <v>61</v>
      </c>
      <c r="B38" s="2" t="s">
        <v>62</v>
      </c>
    </row>
    <row r="39" spans="1:2" x14ac:dyDescent="0.2">
      <c r="A39" s="1" t="s">
        <v>63</v>
      </c>
      <c r="B39" s="2" t="s">
        <v>64</v>
      </c>
    </row>
    <row r="41" spans="1:2" x14ac:dyDescent="0.2">
      <c r="A41" s="1" t="s">
        <v>65</v>
      </c>
      <c r="B41" s="2" t="s">
        <v>66</v>
      </c>
    </row>
    <row r="42" spans="1:2" x14ac:dyDescent="0.2">
      <c r="A42" s="1" t="s">
        <v>67</v>
      </c>
      <c r="B42" s="3" t="s">
        <v>68</v>
      </c>
    </row>
    <row r="43" spans="1:2" x14ac:dyDescent="0.2">
      <c r="A43" s="1" t="s">
        <v>69</v>
      </c>
      <c r="B43" s="8" t="s">
        <v>70</v>
      </c>
    </row>
    <row r="44" spans="1:2" x14ac:dyDescent="0.2">
      <c r="A44" s="1" t="s">
        <v>71</v>
      </c>
      <c r="B44" s="9" t="s">
        <v>72</v>
      </c>
    </row>
    <row r="46" spans="1:2" x14ac:dyDescent="0.2">
      <c r="A46" s="1" t="s">
        <v>73</v>
      </c>
      <c r="B46" s="2" t="s">
        <v>74</v>
      </c>
    </row>
    <row r="48" spans="1:2" x14ac:dyDescent="0.2">
      <c r="A48" s="1" t="s">
        <v>75</v>
      </c>
      <c r="B48" s="2" t="s">
        <v>76</v>
      </c>
    </row>
    <row r="49" spans="1:2" x14ac:dyDescent="0.2">
      <c r="A49" s="1" t="s">
        <v>77</v>
      </c>
      <c r="B49" s="2" t="s">
        <v>78</v>
      </c>
    </row>
    <row r="50" spans="1:2" x14ac:dyDescent="0.2">
      <c r="A50" s="1" t="s">
        <v>79</v>
      </c>
      <c r="B50" s="2" t="s">
        <v>80</v>
      </c>
    </row>
    <row r="51" spans="1:2" x14ac:dyDescent="0.2">
      <c r="A51" s="1" t="s">
        <v>81</v>
      </c>
      <c r="B51" s="3" t="s">
        <v>82</v>
      </c>
    </row>
    <row r="52" spans="1:2" x14ac:dyDescent="0.2">
      <c r="A52" s="1" t="s">
        <v>83</v>
      </c>
      <c r="B52" s="3" t="s">
        <v>84</v>
      </c>
    </row>
    <row r="53" spans="1:2" x14ac:dyDescent="0.2">
      <c r="A53" s="1" t="s">
        <v>85</v>
      </c>
      <c r="B53" s="10" t="s">
        <v>86</v>
      </c>
    </row>
    <row r="54" spans="1:2" x14ac:dyDescent="0.2">
      <c r="A54" s="1" t="s">
        <v>87</v>
      </c>
      <c r="B54" s="3" t="s">
        <v>88</v>
      </c>
    </row>
    <row r="55" spans="1:2" x14ac:dyDescent="0.2">
      <c r="A55" s="1" t="s">
        <v>89</v>
      </c>
      <c r="B55" s="3" t="s">
        <v>90</v>
      </c>
    </row>
    <row r="56" spans="1:2" x14ac:dyDescent="0.2">
      <c r="A56" s="1" t="s">
        <v>91</v>
      </c>
      <c r="B56" s="2" t="s">
        <v>92</v>
      </c>
    </row>
    <row r="57" spans="1:2" x14ac:dyDescent="0.2">
      <c r="A57" s="1" t="s">
        <v>93</v>
      </c>
      <c r="B57" s="2" t="s">
        <v>94</v>
      </c>
    </row>
    <row r="58" spans="1:2" x14ac:dyDescent="0.2">
      <c r="A58" s="1" t="s">
        <v>95</v>
      </c>
      <c r="B58" s="2" t="s">
        <v>96</v>
      </c>
    </row>
    <row r="59" spans="1:2" x14ac:dyDescent="0.2">
      <c r="A59" s="1" t="s">
        <v>97</v>
      </c>
      <c r="B59" s="3" t="s">
        <v>98</v>
      </c>
    </row>
    <row r="60" spans="1:2" x14ac:dyDescent="0.2">
      <c r="A60" s="1" t="s">
        <v>99</v>
      </c>
      <c r="B60" s="3" t="s">
        <v>100</v>
      </c>
    </row>
    <row r="61" spans="1:2" x14ac:dyDescent="0.2">
      <c r="A61" s="1" t="s">
        <v>101</v>
      </c>
      <c r="B61" s="2" t="s">
        <v>102</v>
      </c>
    </row>
    <row r="62" spans="1:2" x14ac:dyDescent="0.2">
      <c r="A62" s="1" t="s">
        <v>103</v>
      </c>
      <c r="B62" s="2" t="s">
        <v>104</v>
      </c>
    </row>
    <row r="63" spans="1:2" x14ac:dyDescent="0.2">
      <c r="A63" s="1" t="s">
        <v>105</v>
      </c>
      <c r="B63" s="3" t="s">
        <v>106</v>
      </c>
    </row>
    <row r="64" spans="1:2" x14ac:dyDescent="0.2">
      <c r="A64" s="1" t="s">
        <v>107</v>
      </c>
      <c r="B64" s="2" t="s">
        <v>108</v>
      </c>
    </row>
    <row r="65" spans="1:17" x14ac:dyDescent="0.2">
      <c r="A65" s="1" t="s">
        <v>109</v>
      </c>
      <c r="B65" s="2" t="s">
        <v>110</v>
      </c>
    </row>
    <row r="66" spans="1:17" x14ac:dyDescent="0.2">
      <c r="A66" s="1" t="s">
        <v>111</v>
      </c>
      <c r="B66" s="2" t="s">
        <v>112</v>
      </c>
    </row>
    <row r="67" spans="1:17" x14ac:dyDescent="0.2">
      <c r="A67" s="1" t="s">
        <v>113</v>
      </c>
      <c r="B67" s="2" t="s">
        <v>114</v>
      </c>
    </row>
    <row r="68" spans="1:17" x14ac:dyDescent="0.2">
      <c r="A68" s="1" t="s">
        <v>115</v>
      </c>
      <c r="B68" s="2" t="s">
        <v>116</v>
      </c>
    </row>
    <row r="69" spans="1:17" x14ac:dyDescent="0.2">
      <c r="A69" s="1" t="s">
        <v>117</v>
      </c>
      <c r="B69" s="2" t="s">
        <v>118</v>
      </c>
    </row>
    <row r="70" spans="1:17" x14ac:dyDescent="0.2">
      <c r="A70" s="1" t="s">
        <v>119</v>
      </c>
      <c r="B70" s="2" t="s">
        <v>120</v>
      </c>
    </row>
    <row r="71" spans="1:17" x14ac:dyDescent="0.2">
      <c r="A71" s="1" t="s">
        <v>121</v>
      </c>
      <c r="B71" s="2" t="s">
        <v>122</v>
      </c>
    </row>
    <row r="72" spans="1:17" x14ac:dyDescent="0.2">
      <c r="A72" s="1" t="s">
        <v>123</v>
      </c>
      <c r="B72" s="2" t="s">
        <v>124</v>
      </c>
    </row>
    <row r="73" spans="1:17" x14ac:dyDescent="0.2">
      <c r="A73" s="1" t="s">
        <v>125</v>
      </c>
      <c r="B73" s="2" t="s">
        <v>126</v>
      </c>
    </row>
    <row r="74" spans="1:17" x14ac:dyDescent="0.2">
      <c r="A74" s="1" t="s">
        <v>127</v>
      </c>
      <c r="B74" s="2" t="s">
        <v>128</v>
      </c>
    </row>
    <row r="75" spans="1:17" ht="12.75" x14ac:dyDescent="0.2">
      <c r="Q75"/>
    </row>
    <row r="76" spans="1:17" x14ac:dyDescent="0.2">
      <c r="A76" s="1" t="s">
        <v>129</v>
      </c>
      <c r="B76" s="2" t="s">
        <v>130</v>
      </c>
    </row>
    <row r="78" spans="1:17" x14ac:dyDescent="0.2">
      <c r="A78" s="1" t="s">
        <v>131</v>
      </c>
      <c r="B78" s="2" t="s">
        <v>132</v>
      </c>
    </row>
    <row r="80" spans="1:17" x14ac:dyDescent="0.2">
      <c r="A80" s="1" t="s">
        <v>133</v>
      </c>
      <c r="B80" s="3" t="s">
        <v>134</v>
      </c>
    </row>
    <row r="82" spans="1:2" x14ac:dyDescent="0.2">
      <c r="A82" s="1" t="s">
        <v>135</v>
      </c>
      <c r="B82" s="2" t="s">
        <v>136</v>
      </c>
    </row>
    <row r="83" spans="1:2" x14ac:dyDescent="0.2">
      <c r="A83" s="1" t="s">
        <v>137</v>
      </c>
      <c r="B83" s="2" t="s">
        <v>138</v>
      </c>
    </row>
    <row r="84" spans="1:2" x14ac:dyDescent="0.2">
      <c r="A84" s="1" t="s">
        <v>139</v>
      </c>
      <c r="B84" s="2" t="s">
        <v>140</v>
      </c>
    </row>
    <row r="86" spans="1:2" x14ac:dyDescent="0.2">
      <c r="A86" s="1" t="s">
        <v>141</v>
      </c>
      <c r="B86" s="3" t="s">
        <v>142</v>
      </c>
    </row>
    <row r="88" spans="1:2" x14ac:dyDescent="0.2">
      <c r="A88" s="1" t="s">
        <v>143</v>
      </c>
      <c r="B88" s="2" t="s">
        <v>144</v>
      </c>
    </row>
    <row r="90" spans="1:2" x14ac:dyDescent="0.2">
      <c r="A90" s="1" t="s">
        <v>145</v>
      </c>
      <c r="B90" s="2" t="s">
        <v>146</v>
      </c>
    </row>
    <row r="91" spans="1:2" x14ac:dyDescent="0.2">
      <c r="A91" s="1" t="s">
        <v>147</v>
      </c>
      <c r="B91" s="2" t="s">
        <v>148</v>
      </c>
    </row>
    <row r="92" spans="1:2" x14ac:dyDescent="0.2">
      <c r="A92" s="1" t="s">
        <v>149</v>
      </c>
      <c r="B92" s="2" t="s">
        <v>150</v>
      </c>
    </row>
    <row r="93" spans="1:2" x14ac:dyDescent="0.2">
      <c r="A93" s="1" t="s">
        <v>151</v>
      </c>
      <c r="B93" s="2" t="s">
        <v>152</v>
      </c>
    </row>
    <row r="94" spans="1:2" x14ac:dyDescent="0.2">
      <c r="A94" s="1" t="s">
        <v>153</v>
      </c>
      <c r="B94" s="2" t="s">
        <v>154</v>
      </c>
    </row>
    <row r="95" spans="1:2" x14ac:dyDescent="0.2">
      <c r="A95" s="1" t="s">
        <v>155</v>
      </c>
      <c r="B95" s="2" t="s">
        <v>156</v>
      </c>
    </row>
    <row r="96" spans="1:2" x14ac:dyDescent="0.2">
      <c r="A96" s="1" t="s">
        <v>157</v>
      </c>
      <c r="B96" s="2" t="s">
        <v>158</v>
      </c>
    </row>
    <row r="97" spans="1:2" x14ac:dyDescent="0.2">
      <c r="A97" s="1" t="s">
        <v>159</v>
      </c>
      <c r="B97" s="2" t="s">
        <v>160</v>
      </c>
    </row>
    <row r="98" spans="1:2" x14ac:dyDescent="0.2">
      <c r="A98" s="1" t="s">
        <v>161</v>
      </c>
      <c r="B98" s="2" t="s">
        <v>162</v>
      </c>
    </row>
    <row r="100" spans="1:2" x14ac:dyDescent="0.2">
      <c r="A100" s="1" t="s">
        <v>163</v>
      </c>
      <c r="B100" s="2" t="s">
        <v>164</v>
      </c>
    </row>
    <row r="101" spans="1:2" x14ac:dyDescent="0.2">
      <c r="A101" s="1" t="s">
        <v>165</v>
      </c>
      <c r="B101" s="2" t="s">
        <v>166</v>
      </c>
    </row>
    <row r="102" spans="1:2" x14ac:dyDescent="0.2">
      <c r="A102" s="1" t="s">
        <v>167</v>
      </c>
      <c r="B102" s="2" t="s">
        <v>168</v>
      </c>
    </row>
    <row r="103" spans="1:2" x14ac:dyDescent="0.2">
      <c r="A103" s="1" t="s">
        <v>169</v>
      </c>
      <c r="B103" s="2" t="s">
        <v>170</v>
      </c>
    </row>
  </sheetData>
  <sheetProtection selectLockedCells="1" selectUnlockedCells="1"/>
  <hyperlinks>
    <hyperlink ref="B11" r:id="rId1"/>
    <hyperlink ref="B12" r:id="rId2"/>
    <hyperlink ref="B53" r:id="rId3"/>
  </hyperlinks>
  <pageMargins left="0.19652777777777777" right="0.19652777777777777" top="0.19652777777777777" bottom="7.8472222222222221E-2" header="0" footer="0"/>
  <pageSetup paperSize="9" firstPageNumber="0" orientation="portrait" horizontalDpi="300" verticalDpi="300"/>
  <headerFooter alignWithMargins="0">
    <oddHeader>&amp;C&amp;"Times New Roman,Normaali"&amp;12&amp;A</oddHeader>
    <oddFooter>&amp;C&amp;"Times New Roman,Normaali"&amp;12Sivu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1"/>
  <sheetViews>
    <sheetView zoomScaleNormal="100" workbookViewId="0">
      <selection activeCell="L9" sqref="L9"/>
    </sheetView>
  </sheetViews>
  <sheetFormatPr defaultColWidth="9" defaultRowHeight="13.35" customHeight="1" x14ac:dyDescent="0.2"/>
  <cols>
    <col min="1" max="1" width="11.5703125" style="11" customWidth="1"/>
    <col min="2" max="2" width="4.85546875" style="12" customWidth="1"/>
    <col min="3" max="5" width="10.7109375" style="12" customWidth="1"/>
    <col min="6" max="6" width="10.28515625" style="12" customWidth="1"/>
    <col min="7" max="9" width="10.7109375" style="12" customWidth="1"/>
    <col min="10" max="10" width="9" style="12"/>
    <col min="11" max="11" width="29.42578125" style="12" customWidth="1"/>
    <col min="12" max="12" width="5.7109375" style="12" customWidth="1"/>
    <col min="13" max="13" width="23.85546875" style="12" customWidth="1"/>
    <col min="14" max="14" width="14.5703125" style="12" customWidth="1"/>
    <col min="15" max="15" width="0" style="13" hidden="1" customWidth="1"/>
    <col min="16" max="16" width="0" style="12" hidden="1" customWidth="1"/>
    <col min="17" max="16384" width="9" style="12"/>
  </cols>
  <sheetData>
    <row r="1" spans="1:17" ht="13.35" customHeight="1" x14ac:dyDescent="0.2">
      <c r="A1" s="14" t="s">
        <v>171</v>
      </c>
      <c r="B1" s="303" t="s">
        <v>4135</v>
      </c>
      <c r="C1" s="303"/>
      <c r="D1" s="14" t="s">
        <v>190</v>
      </c>
      <c r="E1" s="31">
        <v>50</v>
      </c>
      <c r="F1" s="16" t="s">
        <v>173</v>
      </c>
      <c r="G1" s="17" t="s">
        <v>174</v>
      </c>
      <c r="H1" s="17" t="s">
        <v>173</v>
      </c>
      <c r="I1" s="17" t="s">
        <v>175</v>
      </c>
      <c r="K1" s="241"/>
      <c r="L1" s="242"/>
      <c r="M1" s="243" t="s">
        <v>4054</v>
      </c>
      <c r="N1" s="12" t="s">
        <v>4382</v>
      </c>
      <c r="O1" s="12"/>
    </row>
    <row r="2" spans="1:17" ht="13.35" customHeight="1" x14ac:dyDescent="0.2">
      <c r="A2" s="14" t="s">
        <v>176</v>
      </c>
      <c r="B2" s="304" t="str">
        <f>M2</f>
        <v>Forest Gnome</v>
      </c>
      <c r="C2" s="304"/>
      <c r="D2" s="14" t="s">
        <v>194</v>
      </c>
      <c r="E2" s="31" t="s">
        <v>195</v>
      </c>
      <c r="F2" s="20" t="str">
        <f>Skills!B94</f>
        <v>Gnomish</v>
      </c>
      <c r="G2" s="21">
        <f>Skills!E94</f>
        <v>8</v>
      </c>
      <c r="H2" s="20" t="str">
        <f>Skills!B95</f>
        <v>Gnomish</v>
      </c>
      <c r="I2" s="21">
        <f>Skills!E95</f>
        <v>8</v>
      </c>
      <c r="J2" s="22"/>
      <c r="K2" s="244" t="s">
        <v>177</v>
      </c>
      <c r="L2" s="24"/>
      <c r="M2" s="245" t="s">
        <v>4349</v>
      </c>
      <c r="N2" s="12" t="str">
        <f>VLOOKUP(M2,Info!A263:B300,2,FALSE)</f>
        <v>http://forgottenrealms.wikia.com/wiki/Forest_gnome</v>
      </c>
      <c r="O2" s="12"/>
    </row>
    <row r="3" spans="1:17" ht="13.35" customHeight="1" x14ac:dyDescent="0.2">
      <c r="A3" s="14" t="s">
        <v>179</v>
      </c>
      <c r="B3" s="26">
        <f>VLOOKUP(L7,HW!G4:AS31,HW!C42)</f>
        <v>0.71430000000000005</v>
      </c>
      <c r="C3" s="27" t="str">
        <f>"m"&amp;", " &amp; HW!B112</f>
        <v>m, small</v>
      </c>
      <c r="D3" s="28" t="s">
        <v>181</v>
      </c>
      <c r="E3" s="29">
        <f>B4/(B3*B3)</f>
        <v>25.976227805442534</v>
      </c>
      <c r="F3" s="20" t="str">
        <f>Skills!B96</f>
        <v>Common</v>
      </c>
      <c r="G3" s="21">
        <f>Skills!E96</f>
        <v>7</v>
      </c>
      <c r="H3" s="20" t="str">
        <f>Skills!B97</f>
        <v>Common</v>
      </c>
      <c r="I3" s="21">
        <f>Skills!E97</f>
        <v>7</v>
      </c>
      <c r="K3" s="244" t="s">
        <v>4128</v>
      </c>
      <c r="L3" s="22"/>
      <c r="M3" s="246" t="s">
        <v>783</v>
      </c>
      <c r="N3" s="12" t="s">
        <v>4429</v>
      </c>
      <c r="O3" s="12"/>
    </row>
    <row r="4" spans="1:17" ht="13.35" customHeight="1" x14ac:dyDescent="0.2">
      <c r="A4" s="14" t="s">
        <v>183</v>
      </c>
      <c r="B4" s="32">
        <f>$B$3*HW!$B$34+HW!$B$36</f>
        <v>13.253707584155737</v>
      </c>
      <c r="C4" s="27" t="str">
        <f>"kg"&amp;", " &amp; HW!A112</f>
        <v>kg, small</v>
      </c>
      <c r="D4" s="28" t="s">
        <v>185</v>
      </c>
      <c r="E4" s="15" t="str">
        <f>VLOOKUP(E3,HW!A3:B9,2)</f>
        <v>Normal</v>
      </c>
      <c r="F4" s="20">
        <f>Skills!B98</f>
        <v>0</v>
      </c>
      <c r="G4" s="21">
        <f>Skills!E98</f>
        <v>0</v>
      </c>
      <c r="H4" s="20">
        <f>Skills!B99</f>
        <v>0</v>
      </c>
      <c r="I4" s="21">
        <f>Skills!E99</f>
        <v>0</v>
      </c>
      <c r="K4" s="247" t="s">
        <v>4129</v>
      </c>
      <c r="L4" s="248"/>
      <c r="M4" s="249" t="s">
        <v>784</v>
      </c>
      <c r="N4" s="302" t="s">
        <v>4426</v>
      </c>
      <c r="O4" s="12"/>
    </row>
    <row r="5" spans="1:17" ht="13.35" customHeight="1" x14ac:dyDescent="0.2">
      <c r="A5" s="14" t="s">
        <v>4124</v>
      </c>
      <c r="B5" s="250" t="str">
        <f>M3</f>
        <v>Thief</v>
      </c>
      <c r="C5" s="251"/>
      <c r="D5" s="34" t="str">
        <f>HLOOKUP($B$5,Info!$F$117:$DD$119,3,0)</f>
        <v>AG/QU</v>
      </c>
      <c r="E5" s="15"/>
      <c r="F5" s="275">
        <f>Skills!B99</f>
        <v>0</v>
      </c>
      <c r="G5" s="21">
        <f>Skills!E99</f>
        <v>0</v>
      </c>
      <c r="H5" s="275">
        <f>Skills!B100</f>
        <v>0</v>
      </c>
      <c r="I5" s="21">
        <f>Skills!E100</f>
        <v>0</v>
      </c>
      <c r="K5" s="12" t="s">
        <v>186</v>
      </c>
      <c r="L5" s="22">
        <f>VLOOKUP($B$2,Info!$DI$3:$EB$67,20,0)</f>
        <v>40</v>
      </c>
      <c r="M5" s="33"/>
      <c r="O5" s="12"/>
    </row>
    <row r="6" spans="1:17" ht="13.35" customHeight="1" x14ac:dyDescent="0.2">
      <c r="A6" s="14" t="s">
        <v>4127</v>
      </c>
      <c r="B6" s="250" t="str">
        <f>IF(M4="","",M4)</f>
        <v>Rogue</v>
      </c>
      <c r="C6" s="251"/>
      <c r="D6" s="34" t="str">
        <f>IF(B6="","",HLOOKUP($B$6,Info!$F$117:$DD$119,3,0))</f>
        <v>AG/ST</v>
      </c>
      <c r="E6" s="15"/>
      <c r="F6" s="275">
        <f>Skills!B100</f>
        <v>0</v>
      </c>
      <c r="G6" s="21">
        <f>Skills!E100</f>
        <v>0</v>
      </c>
      <c r="H6" s="275">
        <f>Skills!B101</f>
        <v>0</v>
      </c>
      <c r="I6" s="21">
        <f>Skills!E101</f>
        <v>0</v>
      </c>
      <c r="L6" s="22"/>
      <c r="M6" s="33"/>
      <c r="O6" s="12"/>
    </row>
    <row r="7" spans="1:17" ht="13.35" customHeight="1" x14ac:dyDescent="0.2">
      <c r="A7" s="14" t="s">
        <v>4125</v>
      </c>
      <c r="B7" s="31">
        <f>VLOOKUP(C7,Info!IR2:IS102,2)</f>
        <v>1</v>
      </c>
      <c r="C7" s="21">
        <v>19999</v>
      </c>
      <c r="D7" s="35" t="s">
        <v>187</v>
      </c>
      <c r="E7" s="15"/>
      <c r="F7" s="20">
        <f>Skills!B102</f>
        <v>0</v>
      </c>
      <c r="G7" s="21">
        <f>Skills!E102</f>
        <v>0</v>
      </c>
      <c r="H7" s="20">
        <f>Skills!B103</f>
        <v>0</v>
      </c>
      <c r="I7" s="21">
        <f>Skills!E103</f>
        <v>0</v>
      </c>
      <c r="K7" s="36" t="s">
        <v>188</v>
      </c>
      <c r="L7" s="37">
        <v>50</v>
      </c>
      <c r="M7" s="19" t="s">
        <v>189</v>
      </c>
      <c r="O7" s="12"/>
    </row>
    <row r="8" spans="1:17" ht="13.35" customHeight="1" x14ac:dyDescent="0.2">
      <c r="A8" s="14" t="s">
        <v>4126</v>
      </c>
      <c r="B8" s="31">
        <f>VLOOKUP(C8,Info!IR2:IS102,2)</f>
        <v>1</v>
      </c>
      <c r="C8" s="21">
        <v>19999</v>
      </c>
      <c r="D8" s="35" t="s">
        <v>191</v>
      </c>
      <c r="E8" s="15"/>
      <c r="F8" s="20"/>
      <c r="G8" s="21"/>
      <c r="H8" s="293"/>
      <c r="I8" s="97"/>
      <c r="K8" s="39" t="s">
        <v>192</v>
      </c>
      <c r="L8" s="40">
        <v>50</v>
      </c>
      <c r="M8" s="25" t="s">
        <v>193</v>
      </c>
      <c r="O8" s="12"/>
    </row>
    <row r="9" spans="1:17" ht="13.35" customHeight="1" x14ac:dyDescent="0.2">
      <c r="A9" s="14" t="s">
        <v>198</v>
      </c>
      <c r="B9" s="31">
        <f>VLOOKUP($B$2,Info!$DI$3:$EA$67,19,0)</f>
        <v>0.75</v>
      </c>
      <c r="C9" s="21" t="s">
        <v>199</v>
      </c>
      <c r="D9" s="35" t="s">
        <v>196</v>
      </c>
      <c r="E9" s="15"/>
      <c r="F9" s="20"/>
      <c r="G9" s="91"/>
      <c r="H9" s="294"/>
      <c r="I9" s="295"/>
      <c r="K9" s="41" t="s">
        <v>197</v>
      </c>
      <c r="L9" s="42">
        <v>2</v>
      </c>
      <c r="M9" s="43" t="s">
        <v>193</v>
      </c>
      <c r="O9" s="12"/>
    </row>
    <row r="10" spans="1:17" ht="13.35" customHeight="1" x14ac:dyDescent="0.2">
      <c r="A10" s="296" t="s">
        <v>200</v>
      </c>
      <c r="B10" s="305" t="s">
        <v>1961</v>
      </c>
      <c r="C10" s="306"/>
      <c r="D10" s="307" t="str">
        <f>VLOOKUP($B$10,Info!$B$252:$D$260,2,0)</f>
        <v>Path of Integrity: Conformity/Tradition and Benevolence</v>
      </c>
      <c r="E10" s="308"/>
      <c r="F10" s="308"/>
      <c r="G10" s="308"/>
      <c r="H10" s="309"/>
      <c r="I10" s="310"/>
      <c r="O10" s="12"/>
    </row>
    <row r="11" spans="1:17" ht="13.35" customHeight="1" x14ac:dyDescent="0.2">
      <c r="A11" s="298"/>
      <c r="B11" s="299"/>
      <c r="C11" s="300"/>
      <c r="D11" s="300"/>
      <c r="E11" s="300"/>
      <c r="F11" s="300"/>
      <c r="G11" s="300"/>
      <c r="H11" s="299"/>
      <c r="I11" s="301"/>
      <c r="K11" s="45"/>
      <c r="O11" s="12"/>
    </row>
    <row r="12" spans="1:17" ht="13.35" customHeight="1" x14ac:dyDescent="0.2">
      <c r="A12" s="276" t="s">
        <v>202</v>
      </c>
      <c r="B12" s="276"/>
      <c r="C12" s="297" t="s">
        <v>203</v>
      </c>
      <c r="D12" s="297" t="s">
        <v>204</v>
      </c>
      <c r="E12" s="297" t="s">
        <v>205</v>
      </c>
      <c r="F12" s="297" t="s">
        <v>206</v>
      </c>
      <c r="G12" s="297" t="s">
        <v>207</v>
      </c>
      <c r="H12" s="297" t="s">
        <v>208</v>
      </c>
      <c r="I12" s="297" t="s">
        <v>209</v>
      </c>
      <c r="J12" s="46" t="s">
        <v>210</v>
      </c>
      <c r="K12" s="47" t="s">
        <v>211</v>
      </c>
      <c r="L12" s="48" t="s">
        <v>212</v>
      </c>
      <c r="M12" s="48" t="s">
        <v>213</v>
      </c>
      <c r="N12" s="49" t="s">
        <v>214</v>
      </c>
      <c r="O12" s="50" t="s">
        <v>215</v>
      </c>
      <c r="P12" s="19" t="s">
        <v>216</v>
      </c>
      <c r="Q12" s="2"/>
    </row>
    <row r="13" spans="1:17" ht="13.35" customHeight="1" x14ac:dyDescent="0.2">
      <c r="A13" s="51" t="s">
        <v>217</v>
      </c>
      <c r="B13" s="52" t="s">
        <v>218</v>
      </c>
      <c r="C13" s="21">
        <v>33</v>
      </c>
      <c r="D13" s="21">
        <f>VLOOKUP(Stats!C13,Info!$A$166:$B$271,2,0)</f>
        <v>72</v>
      </c>
      <c r="E13" s="53">
        <f t="shared" ref="E13:E22" si="0">C13/9</f>
        <v>3.6666666666666665</v>
      </c>
      <c r="F13" s="21">
        <f>VLOOKUP(Stats!C13,Info!$A$2:$C$151,2,0)</f>
        <v>0</v>
      </c>
      <c r="G13" s="21"/>
      <c r="H13" s="21">
        <f>VLOOKUP($B$2,Info!$DI$3:$DS$67,2,0)</f>
        <v>-6</v>
      </c>
      <c r="I13" s="21">
        <f t="shared" ref="I13:I22" si="1">SUM(F13:H13)</f>
        <v>-6</v>
      </c>
      <c r="J13" s="54">
        <f>VLOOKUP(Stats!C13,Info!$A$2:$C$151,3,0)</f>
        <v>33</v>
      </c>
      <c r="K13" s="55">
        <f t="shared" ref="K13:K22" si="2">IF(C13+L13&gt;D13,D13,C13+L13)</f>
        <v>38</v>
      </c>
      <c r="L13" s="56">
        <f t="shared" ref="L13:L22" si="3">IF(D13-C13=0,0,IF((D13-C13)&gt;10,IF((D13-C13)&gt;20,M13+N13,P13),O13))</f>
        <v>5</v>
      </c>
      <c r="M13" s="40">
        <v>2</v>
      </c>
      <c r="N13" s="57">
        <v>3</v>
      </c>
      <c r="O13" s="12">
        <f t="shared" ref="O13:O22" si="4">IF(M13=N13,M13+N13,SMALL(M13:N13,1))</f>
        <v>2</v>
      </c>
      <c r="P13" s="25">
        <f t="shared" ref="P13:P22" si="5">IF(M13=N13,M13+N13,LARGE(M13:N13,1))</f>
        <v>3</v>
      </c>
      <c r="Q13" s="2"/>
    </row>
    <row r="14" spans="1:17" ht="13.35" customHeight="1" x14ac:dyDescent="0.2">
      <c r="A14" s="51" t="s">
        <v>219</v>
      </c>
      <c r="B14" s="52" t="s">
        <v>220</v>
      </c>
      <c r="C14" s="21">
        <v>91</v>
      </c>
      <c r="D14" s="21">
        <f>VLOOKUP(Stats!C14,Info!$A$166:$B$271,2,0)</f>
        <v>97</v>
      </c>
      <c r="E14" s="53">
        <f t="shared" si="0"/>
        <v>10.111111111111111</v>
      </c>
      <c r="F14" s="21">
        <f>VLOOKUP(Stats!C14,Info!$A$2:$C$151,2,0)</f>
        <v>5</v>
      </c>
      <c r="G14" s="21"/>
      <c r="H14" s="21">
        <f>VLOOKUP($B$2,Info!$DI$3:$DS$67,3,0)</f>
        <v>8</v>
      </c>
      <c r="I14" s="21">
        <f t="shared" si="1"/>
        <v>13</v>
      </c>
      <c r="J14" s="54">
        <f>VLOOKUP(Stats!C14,Info!$A$2:$C$151,3,0)</f>
        <v>91</v>
      </c>
      <c r="K14" s="55">
        <f t="shared" si="2"/>
        <v>97</v>
      </c>
      <c r="L14" s="56">
        <f t="shared" si="3"/>
        <v>8</v>
      </c>
      <c r="M14" s="40">
        <v>10</v>
      </c>
      <c r="N14" s="57">
        <v>8</v>
      </c>
      <c r="O14" s="12">
        <f t="shared" si="4"/>
        <v>8</v>
      </c>
      <c r="P14" s="25">
        <f t="shared" si="5"/>
        <v>10</v>
      </c>
      <c r="Q14" s="2"/>
    </row>
    <row r="15" spans="1:17" ht="13.35" customHeight="1" x14ac:dyDescent="0.2">
      <c r="A15" s="51" t="s">
        <v>221</v>
      </c>
      <c r="B15" s="52" t="s">
        <v>222</v>
      </c>
      <c r="C15" s="21">
        <v>91</v>
      </c>
      <c r="D15" s="21">
        <f>VLOOKUP(Stats!C15,Info!$A$166:$B$271,2,0)</f>
        <v>97</v>
      </c>
      <c r="E15" s="53">
        <f t="shared" si="0"/>
        <v>10.111111111111111</v>
      </c>
      <c r="F15" s="21">
        <f>VLOOKUP(Stats!C15,Info!$A$2:$C$151,2,0)</f>
        <v>5</v>
      </c>
      <c r="G15" s="21"/>
      <c r="H15" s="21">
        <f>VLOOKUP($B$2,Info!$DI$3:$DS$67,4,0)</f>
        <v>-4</v>
      </c>
      <c r="I15" s="21">
        <f t="shared" si="1"/>
        <v>1</v>
      </c>
      <c r="J15" s="54">
        <f>VLOOKUP(Stats!C15,Info!$A$2:$C$151,3,0)</f>
        <v>91</v>
      </c>
      <c r="K15" s="55">
        <f t="shared" si="2"/>
        <v>93</v>
      </c>
      <c r="L15" s="56">
        <f t="shared" si="3"/>
        <v>2</v>
      </c>
      <c r="M15" s="40">
        <v>2</v>
      </c>
      <c r="N15" s="57">
        <v>9</v>
      </c>
      <c r="O15" s="12">
        <f t="shared" si="4"/>
        <v>2</v>
      </c>
      <c r="P15" s="25">
        <f t="shared" si="5"/>
        <v>9</v>
      </c>
      <c r="Q15" s="2"/>
    </row>
    <row r="16" spans="1:17" ht="13.35" customHeight="1" x14ac:dyDescent="0.2">
      <c r="A16" s="51" t="s">
        <v>223</v>
      </c>
      <c r="B16" s="52" t="s">
        <v>224</v>
      </c>
      <c r="C16" s="21">
        <v>32</v>
      </c>
      <c r="D16" s="21">
        <f>VLOOKUP(Stats!C16,Info!$A$166:$B$271,2,0)</f>
        <v>71</v>
      </c>
      <c r="E16" s="53">
        <f t="shared" si="0"/>
        <v>3.5555555555555554</v>
      </c>
      <c r="F16" s="21">
        <f>VLOOKUP(Stats!C16,Info!$A$2:$C$151,2,0)</f>
        <v>0</v>
      </c>
      <c r="G16" s="21"/>
      <c r="H16" s="21">
        <f>VLOOKUP($B$2,Info!$DI$3:$DS$67,5,0)</f>
        <v>4</v>
      </c>
      <c r="I16" s="21">
        <f t="shared" si="1"/>
        <v>4</v>
      </c>
      <c r="J16" s="54">
        <f>VLOOKUP(Stats!C16,Info!$A$2:$C$151,3,0)</f>
        <v>32</v>
      </c>
      <c r="K16" s="55">
        <f t="shared" si="2"/>
        <v>36</v>
      </c>
      <c r="L16" s="56">
        <f t="shared" si="3"/>
        <v>4</v>
      </c>
      <c r="M16" s="40">
        <v>1</v>
      </c>
      <c r="N16" s="57">
        <v>3</v>
      </c>
      <c r="O16" s="12">
        <f t="shared" si="4"/>
        <v>1</v>
      </c>
      <c r="P16" s="25">
        <f t="shared" si="5"/>
        <v>3</v>
      </c>
      <c r="Q16" s="2"/>
    </row>
    <row r="17" spans="1:24" ht="13.35" customHeight="1" x14ac:dyDescent="0.2">
      <c r="A17" s="51" t="s">
        <v>225</v>
      </c>
      <c r="B17" s="52" t="s">
        <v>226</v>
      </c>
      <c r="C17" s="21">
        <v>32</v>
      </c>
      <c r="D17" s="21">
        <f>VLOOKUP(Stats!C17,Info!$A$166:$B$271,2,0)</f>
        <v>71</v>
      </c>
      <c r="E17" s="53">
        <f t="shared" si="0"/>
        <v>3.5555555555555554</v>
      </c>
      <c r="F17" s="21">
        <f>VLOOKUP(Stats!C17,Info!$A$2:$C$151,2,0)</f>
        <v>0</v>
      </c>
      <c r="G17" s="21"/>
      <c r="H17" s="21">
        <f>VLOOKUP($B$2,Info!$DI$3:$DS$67,6,0)</f>
        <v>4</v>
      </c>
      <c r="I17" s="21">
        <f t="shared" si="1"/>
        <v>4</v>
      </c>
      <c r="J17" s="54">
        <f>VLOOKUP(Stats!C17,Info!$A$2:$C$151,3,0)</f>
        <v>32</v>
      </c>
      <c r="K17" s="55">
        <f t="shared" si="2"/>
        <v>41</v>
      </c>
      <c r="L17" s="56">
        <f t="shared" si="3"/>
        <v>9</v>
      </c>
      <c r="M17" s="40">
        <v>8</v>
      </c>
      <c r="N17" s="57">
        <v>1</v>
      </c>
      <c r="O17" s="12">
        <f t="shared" si="4"/>
        <v>1</v>
      </c>
      <c r="P17" s="25">
        <f t="shared" si="5"/>
        <v>8</v>
      </c>
      <c r="Q17" s="2"/>
    </row>
    <row r="18" spans="1:24" ht="13.35" customHeight="1" x14ac:dyDescent="0.2">
      <c r="A18" s="51" t="s">
        <v>227</v>
      </c>
      <c r="B18" s="52" t="s">
        <v>228</v>
      </c>
      <c r="C18" s="21">
        <v>91</v>
      </c>
      <c r="D18" s="21">
        <f>VLOOKUP(Stats!C18,Info!$A$166:$B$271,2,0)</f>
        <v>97</v>
      </c>
      <c r="E18" s="53">
        <f t="shared" si="0"/>
        <v>10.111111111111111</v>
      </c>
      <c r="F18" s="21">
        <f>VLOOKUP(Stats!C18,Info!$A$2:$C$151,2,0)</f>
        <v>5</v>
      </c>
      <c r="G18" s="21"/>
      <c r="H18" s="21">
        <f>VLOOKUP($B$2,Info!$DI$3:$DS$67,7,0)</f>
        <v>-10</v>
      </c>
      <c r="I18" s="21">
        <f t="shared" si="1"/>
        <v>-5</v>
      </c>
      <c r="J18" s="54">
        <f>VLOOKUP(Stats!C18,Info!$A$2:$C$151,3,0)</f>
        <v>91</v>
      </c>
      <c r="K18" s="55">
        <f t="shared" si="2"/>
        <v>97</v>
      </c>
      <c r="L18" s="56">
        <f t="shared" si="3"/>
        <v>12</v>
      </c>
      <c r="M18" s="40">
        <v>6</v>
      </c>
      <c r="N18" s="57">
        <v>6</v>
      </c>
      <c r="O18" s="12">
        <f t="shared" si="4"/>
        <v>12</v>
      </c>
      <c r="P18" s="25">
        <f t="shared" si="5"/>
        <v>12</v>
      </c>
      <c r="Q18" s="2"/>
    </row>
    <row r="19" spans="1:24" ht="13.35" customHeight="1" x14ac:dyDescent="0.2">
      <c r="A19" s="51" t="s">
        <v>229</v>
      </c>
      <c r="B19" s="52" t="s">
        <v>230</v>
      </c>
      <c r="C19" s="21">
        <v>96</v>
      </c>
      <c r="D19" s="21">
        <f>VLOOKUP(Stats!C19,Info!$A$166:$B$271,2,0)</f>
        <v>99</v>
      </c>
      <c r="E19" s="53">
        <f t="shared" si="0"/>
        <v>10.666666666666666</v>
      </c>
      <c r="F19" s="21">
        <f>VLOOKUP(Stats!C19,Info!$A$2:$C$151,2,0)</f>
        <v>8</v>
      </c>
      <c r="G19" s="21"/>
      <c r="H19" s="21">
        <f>VLOOKUP($B$2,Info!$DI$3:$DS$67,8,0)</f>
        <v>8</v>
      </c>
      <c r="I19" s="21">
        <f t="shared" si="1"/>
        <v>16</v>
      </c>
      <c r="J19" s="54">
        <f>VLOOKUP(Stats!C19,Info!$A$2:$C$151,3,0)</f>
        <v>126</v>
      </c>
      <c r="K19" s="55">
        <f t="shared" si="2"/>
        <v>99</v>
      </c>
      <c r="L19" s="56">
        <f t="shared" si="3"/>
        <v>6</v>
      </c>
      <c r="M19" s="40">
        <v>8</v>
      </c>
      <c r="N19" s="57">
        <v>6</v>
      </c>
      <c r="O19" s="12">
        <f t="shared" si="4"/>
        <v>6</v>
      </c>
      <c r="P19" s="25">
        <f t="shared" si="5"/>
        <v>8</v>
      </c>
      <c r="Q19" s="2"/>
    </row>
    <row r="20" spans="1:24" ht="13.35" customHeight="1" x14ac:dyDescent="0.2">
      <c r="A20" s="51" t="s">
        <v>231</v>
      </c>
      <c r="B20" s="52" t="s">
        <v>232</v>
      </c>
      <c r="C20" s="21">
        <v>33</v>
      </c>
      <c r="D20" s="21">
        <f>VLOOKUP(Stats!C20,Info!$A$166:$B$271,2,0)</f>
        <v>72</v>
      </c>
      <c r="E20" s="53">
        <f t="shared" si="0"/>
        <v>3.6666666666666665</v>
      </c>
      <c r="F20" s="21">
        <f>VLOOKUP(Stats!C20,Info!$A$2:$C$151,2,0)</f>
        <v>0</v>
      </c>
      <c r="G20" s="21"/>
      <c r="H20" s="21">
        <f>VLOOKUP($B$2,Info!$DI$3:$DS$67,9,0)</f>
        <v>-6</v>
      </c>
      <c r="I20" s="21">
        <f t="shared" si="1"/>
        <v>-6</v>
      </c>
      <c r="J20" s="54">
        <f>VLOOKUP(Stats!C20,Info!$A$2:$C$151,3,0)</f>
        <v>33</v>
      </c>
      <c r="K20" s="55">
        <f t="shared" si="2"/>
        <v>38</v>
      </c>
      <c r="L20" s="56">
        <f t="shared" si="3"/>
        <v>5</v>
      </c>
      <c r="M20" s="40">
        <v>2</v>
      </c>
      <c r="N20" s="57">
        <v>3</v>
      </c>
      <c r="O20" s="12">
        <f t="shared" si="4"/>
        <v>2</v>
      </c>
      <c r="P20" s="25">
        <f t="shared" si="5"/>
        <v>3</v>
      </c>
      <c r="Q20" s="2"/>
    </row>
    <row r="21" spans="1:24" ht="13.35" customHeight="1" x14ac:dyDescent="0.2">
      <c r="A21" s="51" t="s">
        <v>233</v>
      </c>
      <c r="B21" s="52" t="s">
        <v>234</v>
      </c>
      <c r="C21" s="21">
        <v>33</v>
      </c>
      <c r="D21" s="21">
        <f>VLOOKUP(Stats!C21,Info!$A$166:$B$271,2,0)</f>
        <v>72</v>
      </c>
      <c r="E21" s="53">
        <f t="shared" si="0"/>
        <v>3.6666666666666665</v>
      </c>
      <c r="F21" s="21">
        <f>VLOOKUP(Stats!C21,Info!$A$2:$C$151,2,0)</f>
        <v>0</v>
      </c>
      <c r="G21" s="21"/>
      <c r="H21" s="21">
        <f>VLOOKUP($B$2,Info!$DI$3:$DS$67,10,0)</f>
        <v>4</v>
      </c>
      <c r="I21" s="21">
        <f t="shared" si="1"/>
        <v>4</v>
      </c>
      <c r="J21" s="54">
        <f>VLOOKUP(Stats!C21,Info!$A$2:$C$151,3,0)</f>
        <v>33</v>
      </c>
      <c r="K21" s="55">
        <f t="shared" si="2"/>
        <v>39</v>
      </c>
      <c r="L21" s="56">
        <f t="shared" si="3"/>
        <v>6</v>
      </c>
      <c r="M21" s="40">
        <v>1</v>
      </c>
      <c r="N21" s="57">
        <v>5</v>
      </c>
      <c r="O21" s="12">
        <f t="shared" si="4"/>
        <v>1</v>
      </c>
      <c r="P21" s="25">
        <f t="shared" si="5"/>
        <v>5</v>
      </c>
      <c r="Q21" s="2"/>
    </row>
    <row r="22" spans="1:24" ht="13.35" customHeight="1" x14ac:dyDescent="0.2">
      <c r="A22" s="51" t="s">
        <v>235</v>
      </c>
      <c r="B22" s="52" t="s">
        <v>236</v>
      </c>
      <c r="C22" s="21">
        <v>33</v>
      </c>
      <c r="D22" s="21">
        <f>VLOOKUP(Stats!C22,Info!$A$166:$B$271,2,0)</f>
        <v>72</v>
      </c>
      <c r="E22" s="53">
        <f t="shared" si="0"/>
        <v>3.6666666666666665</v>
      </c>
      <c r="F22" s="21">
        <f>VLOOKUP(Stats!C22,Info!$A$2:$C$151,2,0)</f>
        <v>0</v>
      </c>
      <c r="G22" s="21"/>
      <c r="H22" s="21">
        <f>VLOOKUP($B$2,Info!$DI$3:$DS$67,11,0)</f>
        <v>4</v>
      </c>
      <c r="I22" s="21">
        <f t="shared" si="1"/>
        <v>4</v>
      </c>
      <c r="J22" s="54">
        <f>VLOOKUP(Stats!C22,Info!$A$2:$C$151,3,0)</f>
        <v>33</v>
      </c>
      <c r="K22" s="58">
        <f t="shared" si="2"/>
        <v>50</v>
      </c>
      <c r="L22" s="59">
        <f t="shared" si="3"/>
        <v>17</v>
      </c>
      <c r="M22" s="42">
        <v>8</v>
      </c>
      <c r="N22" s="60">
        <v>9</v>
      </c>
      <c r="O22" s="27">
        <f t="shared" si="4"/>
        <v>8</v>
      </c>
      <c r="P22" s="43">
        <f t="shared" si="5"/>
        <v>9</v>
      </c>
      <c r="Q22" s="2"/>
    </row>
    <row r="23" spans="1:24" ht="13.35" customHeight="1" x14ac:dyDescent="0.2">
      <c r="C23" s="22"/>
      <c r="D23" s="22" t="s">
        <v>237</v>
      </c>
      <c r="E23" s="61">
        <f>SUM(E13:E22)</f>
        <v>62.777777777777771</v>
      </c>
      <c r="G23" s="22"/>
      <c r="I23" s="25"/>
      <c r="J23" s="22">
        <f>SUM(J13:J22)</f>
        <v>595</v>
      </c>
      <c r="K23" s="22"/>
      <c r="O23" s="12"/>
    </row>
    <row r="24" spans="1:24" ht="13.35" customHeight="1" x14ac:dyDescent="0.2">
      <c r="A24" s="62" t="s">
        <v>238</v>
      </c>
      <c r="B24" s="63"/>
      <c r="C24" s="63"/>
      <c r="D24" s="64"/>
      <c r="E24" s="17" t="s">
        <v>239</v>
      </c>
      <c r="F24" s="17" t="s">
        <v>240</v>
      </c>
      <c r="G24" s="17" t="s">
        <v>207</v>
      </c>
      <c r="H24" s="17" t="s">
        <v>208</v>
      </c>
      <c r="I24" s="17" t="s">
        <v>209</v>
      </c>
      <c r="J24" s="65">
        <f>660-J23</f>
        <v>65</v>
      </c>
      <c r="K24" s="12" t="s">
        <v>241</v>
      </c>
      <c r="O24" s="12"/>
    </row>
    <row r="25" spans="1:24" ht="13.35" customHeight="1" x14ac:dyDescent="0.2">
      <c r="A25" s="30" t="s">
        <v>242</v>
      </c>
      <c r="B25" s="27"/>
      <c r="C25" s="27"/>
      <c r="D25" s="52" t="s">
        <v>234</v>
      </c>
      <c r="E25" s="21">
        <f>I21*3</f>
        <v>12</v>
      </c>
      <c r="F25" s="21"/>
      <c r="G25" s="21"/>
      <c r="H25" s="21">
        <f>VLOOKUP($B$2,Info!$DI$3:$DX$67,12,0)</f>
        <v>10</v>
      </c>
      <c r="I25" s="21">
        <f>E25+F25+G25+H25</f>
        <v>22</v>
      </c>
      <c r="O25" s="12"/>
    </row>
    <row r="26" spans="1:24" ht="13.35" customHeight="1" x14ac:dyDescent="0.2">
      <c r="A26" s="30" t="s">
        <v>243</v>
      </c>
      <c r="B26" s="27"/>
      <c r="C26" s="27"/>
      <c r="D26" s="52" t="s">
        <v>236</v>
      </c>
      <c r="E26" s="21">
        <f>I22*3</f>
        <v>12</v>
      </c>
      <c r="F26" s="21"/>
      <c r="G26" s="21"/>
      <c r="H26" s="21">
        <f>VLOOKUP($B$2,Info!$DI$3:$DX$67,13,0)</f>
        <v>10</v>
      </c>
      <c r="I26" s="21">
        <f>E26+F26+G26+H26</f>
        <v>22</v>
      </c>
      <c r="O26" s="12"/>
    </row>
    <row r="27" spans="1:24" ht="13.35" customHeight="1" x14ac:dyDescent="0.2">
      <c r="A27" s="30" t="s">
        <v>244</v>
      </c>
      <c r="B27" s="27"/>
      <c r="C27" s="27"/>
      <c r="D27" s="52" t="s">
        <v>232</v>
      </c>
      <c r="E27" s="21">
        <f>I20*3</f>
        <v>-18</v>
      </c>
      <c r="F27" s="21"/>
      <c r="G27" s="21"/>
      <c r="H27" s="21">
        <f>VLOOKUP($B$2,Info!$DI$3:$DX$786,14,0)</f>
        <v>10</v>
      </c>
      <c r="I27" s="21">
        <f>E27+F27+G27+H27</f>
        <v>-8</v>
      </c>
      <c r="O27" s="12"/>
    </row>
    <row r="28" spans="1:24" ht="13.35" customHeight="1" x14ac:dyDescent="0.2">
      <c r="A28" s="30" t="s">
        <v>245</v>
      </c>
      <c r="B28" s="27"/>
      <c r="C28" s="27"/>
      <c r="D28" s="52" t="s">
        <v>218</v>
      </c>
      <c r="E28" s="21">
        <f>I13*3</f>
        <v>-18</v>
      </c>
      <c r="F28" s="21"/>
      <c r="G28" s="21"/>
      <c r="H28" s="21">
        <f>VLOOKUP($B$2,Info!$DI$3:$DX$67,15,0)</f>
        <v>20</v>
      </c>
      <c r="I28" s="21">
        <f>E28+F28+G28+H28</f>
        <v>2</v>
      </c>
      <c r="O28" s="12"/>
    </row>
    <row r="29" spans="1:24" ht="13.35" customHeight="1" x14ac:dyDescent="0.2">
      <c r="A29" s="30" t="s">
        <v>246</v>
      </c>
      <c r="B29" s="27"/>
      <c r="C29" s="27"/>
      <c r="D29" s="52" t="s">
        <v>218</v>
      </c>
      <c r="E29" s="21">
        <f>I13*3</f>
        <v>-18</v>
      </c>
      <c r="F29" s="21"/>
      <c r="G29" s="21"/>
      <c r="H29" s="21">
        <f>VLOOKUP($B$2,Info!$DI$3:$DX$67,16,0)</f>
        <v>10</v>
      </c>
      <c r="I29" s="21">
        <f>E29+F29+G29+H29</f>
        <v>-8</v>
      </c>
      <c r="O29" s="12"/>
    </row>
    <row r="30" spans="1:24" ht="13.35" customHeight="1" x14ac:dyDescent="0.2">
      <c r="A30" s="30" t="s">
        <v>247</v>
      </c>
      <c r="B30" s="27"/>
      <c r="C30" s="27"/>
      <c r="D30" s="52" t="s">
        <v>222</v>
      </c>
      <c r="E30" s="21">
        <f>I15*3</f>
        <v>3</v>
      </c>
      <c r="F30" s="21"/>
      <c r="G30" s="21"/>
      <c r="H30" s="21" t="s">
        <v>248</v>
      </c>
      <c r="I30" s="21">
        <f>E30+F30+G30</f>
        <v>3</v>
      </c>
      <c r="K30" s="12" t="s">
        <v>249</v>
      </c>
      <c r="L30" s="66">
        <f>SUM(H127:H186)</f>
        <v>0</v>
      </c>
      <c r="N30" s="67" t="s">
        <v>250</v>
      </c>
      <c r="O30" s="68"/>
      <c r="P30" s="67"/>
      <c r="Q30" s="67"/>
      <c r="R30" s="67"/>
      <c r="S30" s="67"/>
      <c r="T30" s="67" t="s">
        <v>251</v>
      </c>
      <c r="U30" s="67" t="s">
        <v>252</v>
      </c>
      <c r="W30" s="12" t="s">
        <v>253</v>
      </c>
      <c r="X30" s="12" t="s">
        <v>254</v>
      </c>
    </row>
    <row r="31" spans="1:24" ht="13.35" customHeight="1" x14ac:dyDescent="0.2">
      <c r="I31" s="25"/>
      <c r="K31" s="12" t="s">
        <v>255</v>
      </c>
      <c r="L31" s="69">
        <f>IF(I18&gt;0,Info!EK71+I18*3,Info!EK71)</f>
        <v>0</v>
      </c>
      <c r="N31" s="70" t="s">
        <v>256</v>
      </c>
      <c r="O31" s="70"/>
      <c r="P31" s="70"/>
      <c r="T31" s="12" t="s">
        <v>257</v>
      </c>
      <c r="U31" s="12">
        <f>VLOOKUP(T31,$W$31:$X$37,2,0)</f>
        <v>3</v>
      </c>
      <c r="W31" s="12" t="s">
        <v>258</v>
      </c>
      <c r="X31" s="12">
        <v>1</v>
      </c>
    </row>
    <row r="32" spans="1:24" ht="13.35" customHeight="1" x14ac:dyDescent="0.2">
      <c r="A32" s="71" t="s">
        <v>259</v>
      </c>
      <c r="B32" s="46"/>
      <c r="C32" s="17" t="s">
        <v>260</v>
      </c>
      <c r="D32" s="17" t="s">
        <v>261</v>
      </c>
      <c r="E32" s="17" t="s">
        <v>262</v>
      </c>
      <c r="F32" s="17" t="s">
        <v>263</v>
      </c>
      <c r="G32" s="17" t="s">
        <v>264</v>
      </c>
      <c r="H32" s="17" t="s">
        <v>265</v>
      </c>
      <c r="I32" s="17" t="s">
        <v>266</v>
      </c>
      <c r="K32" s="45" t="s">
        <v>267</v>
      </c>
      <c r="L32" s="45">
        <f>IF(L31&lt;0,L31,0)</f>
        <v>0</v>
      </c>
      <c r="N32" s="12" t="s">
        <v>268</v>
      </c>
      <c r="O32" s="2"/>
      <c r="T32" s="12" t="s">
        <v>269</v>
      </c>
      <c r="U32" s="12">
        <f>VLOOKUP(T32,$W$31:$X$37,2,0)</f>
        <v>4</v>
      </c>
      <c r="W32" s="12" t="s">
        <v>270</v>
      </c>
      <c r="X32" s="12">
        <v>2</v>
      </c>
    </row>
    <row r="33" spans="1:24" ht="13.35" customHeight="1" x14ac:dyDescent="0.2">
      <c r="A33" s="72">
        <f>Skills!K81</f>
        <v>3.99</v>
      </c>
      <c r="B33" s="73"/>
      <c r="C33" s="74"/>
      <c r="D33" s="21">
        <f>A33*0.75</f>
        <v>2.9925000000000002</v>
      </c>
      <c r="E33" s="21">
        <f>A33*0.5</f>
        <v>1.9950000000000001</v>
      </c>
      <c r="F33" s="21">
        <f>A33*0.25</f>
        <v>0.99750000000000005</v>
      </c>
      <c r="G33" s="21">
        <f>IF(I13/2&gt;1,I13/2,1)</f>
        <v>1</v>
      </c>
      <c r="H33" s="21">
        <f>IF(I13&gt;0,I13*2,1)</f>
        <v>1</v>
      </c>
      <c r="I33" s="21" t="s">
        <v>271</v>
      </c>
      <c r="N33" s="12" t="s">
        <v>4403</v>
      </c>
      <c r="O33" s="2"/>
      <c r="T33" s="12" t="s">
        <v>258</v>
      </c>
      <c r="U33" s="12">
        <f>VLOOKUP(T33,$W$31:$X$37,2,0)</f>
        <v>1</v>
      </c>
      <c r="W33" s="12" t="s">
        <v>257</v>
      </c>
      <c r="X33" s="12">
        <v>3</v>
      </c>
    </row>
    <row r="34" spans="1:24" ht="13.35" customHeight="1" x14ac:dyDescent="0.2">
      <c r="A34" s="71" t="s">
        <v>273</v>
      </c>
      <c r="B34" s="46"/>
      <c r="C34" s="17" t="s">
        <v>260</v>
      </c>
      <c r="D34" s="17" t="s">
        <v>274</v>
      </c>
      <c r="E34" s="17" t="s">
        <v>275</v>
      </c>
      <c r="F34" s="17" t="s">
        <v>263</v>
      </c>
      <c r="G34" s="17" t="s">
        <v>276</v>
      </c>
      <c r="H34" s="17" t="s">
        <v>277</v>
      </c>
      <c r="I34" s="17" t="s">
        <v>278</v>
      </c>
      <c r="K34" s="45" t="s">
        <v>279</v>
      </c>
      <c r="N34" s="12" t="s">
        <v>280</v>
      </c>
      <c r="O34" s="2"/>
      <c r="T34" s="12" t="s">
        <v>272</v>
      </c>
      <c r="U34" s="12">
        <f>VLOOKUP(T34,$W$31:$X$37,2,0)</f>
        <v>5</v>
      </c>
      <c r="W34" s="12" t="s">
        <v>269</v>
      </c>
      <c r="X34" s="12">
        <v>4</v>
      </c>
    </row>
    <row r="35" spans="1:24" ht="13.35" customHeight="1" x14ac:dyDescent="0.2">
      <c r="A35" s="75">
        <f>40+$I$13*3</f>
        <v>22</v>
      </c>
      <c r="B35" s="31"/>
      <c r="C35" s="21"/>
      <c r="D35" s="76">
        <f>A35*0.75</f>
        <v>16.5</v>
      </c>
      <c r="E35" s="76">
        <f>A35*0.5</f>
        <v>11</v>
      </c>
      <c r="F35" s="76">
        <f>A35*0.25</f>
        <v>5.5</v>
      </c>
      <c r="G35" s="21">
        <f>IF(I13/2&gt;0,1+I13/2,1)</f>
        <v>1</v>
      </c>
      <c r="H35" s="21">
        <f>A35</f>
        <v>22</v>
      </c>
      <c r="I35" s="21">
        <f>3*10</f>
        <v>30</v>
      </c>
      <c r="K35" s="12" t="s">
        <v>281</v>
      </c>
      <c r="L35" s="12">
        <f>IF(VLOOKUP(Stats!$D$41,Info!$DH$71:$DK$90,4)+Info!$DK$96&gt;VLOOKUP(Stats!$D$41,Info!$DH$71:$DN$90,3),VLOOKUP(Stats!$D$41,Info!$DH$70:$DN$90,3),VLOOKUP(Stats!$D$41,Info!$DH$71:$DN$90,4)+Info!$DK$96)</f>
        <v>0</v>
      </c>
      <c r="N35" s="12" t="s">
        <v>282</v>
      </c>
      <c r="O35" s="2"/>
      <c r="T35" s="12" t="s">
        <v>283</v>
      </c>
      <c r="U35" s="12">
        <v>7</v>
      </c>
      <c r="W35" s="12" t="s">
        <v>272</v>
      </c>
      <c r="X35" s="12">
        <v>5</v>
      </c>
    </row>
    <row r="36" spans="1:24" ht="13.35" customHeight="1" x14ac:dyDescent="0.2">
      <c r="A36" s="71" t="s">
        <v>284</v>
      </c>
      <c r="B36" s="46"/>
      <c r="C36" s="17" t="s">
        <v>260</v>
      </c>
      <c r="D36" s="17"/>
      <c r="E36" s="17"/>
      <c r="F36" s="17"/>
      <c r="G36" s="17" t="s">
        <v>4101</v>
      </c>
      <c r="H36" s="17" t="s">
        <v>4100</v>
      </c>
      <c r="I36" s="17" t="s">
        <v>4102</v>
      </c>
      <c r="K36" s="12" t="s">
        <v>285</v>
      </c>
      <c r="L36" s="12">
        <f>IF($I$19*3-(VLOOKUP(Stats!$D$41,Info!$DH$71:$DM$90,6))&gt;0,(-VLOOKUP(Stats!$D$41,Info!$DH$71:$DM$90,6)),IF(-$I$19*3&gt;0,0,-$I$19*3))</f>
        <v>0</v>
      </c>
      <c r="N36" s="77" t="s">
        <v>286</v>
      </c>
      <c r="O36" s="12"/>
      <c r="P36" s="70"/>
      <c r="T36" s="12" t="s">
        <v>283</v>
      </c>
      <c r="U36" s="12">
        <f>VLOOKUP(T36,$W$31:$X$37,2,0)</f>
        <v>6</v>
      </c>
      <c r="W36" s="12" t="s">
        <v>283</v>
      </c>
      <c r="X36" s="12">
        <v>6</v>
      </c>
    </row>
    <row r="37" spans="1:24" ht="13.35" customHeight="1" x14ac:dyDescent="0.2">
      <c r="A37" s="75" t="e">
        <f>IF(Skills!K218&gt;0,Skills!K218,0)</f>
        <v>#REF!</v>
      </c>
      <c r="B37" s="31"/>
      <c r="C37" s="21"/>
      <c r="D37" s="76"/>
      <c r="E37" s="21"/>
      <c r="F37" s="76"/>
      <c r="G37" s="29">
        <f>H37/12</f>
        <v>0.41666666666666669</v>
      </c>
      <c r="H37" s="21">
        <v>5</v>
      </c>
      <c r="I37" s="29">
        <f>H37/24</f>
        <v>0.20833333333333334</v>
      </c>
      <c r="K37" s="12" t="s">
        <v>287</v>
      </c>
      <c r="L37" s="12">
        <f>-VLOOKUP(Stats!$D$41,Info!$DH$71:$DL$90,5)</f>
        <v>0</v>
      </c>
      <c r="N37" s="12" t="s">
        <v>288</v>
      </c>
      <c r="O37" s="2"/>
      <c r="T37" s="12" t="s">
        <v>289</v>
      </c>
      <c r="U37" s="12">
        <f>VLOOKUP(T37,$W$31:$X$37,2,0)</f>
        <v>7</v>
      </c>
      <c r="W37" s="12" t="s">
        <v>289</v>
      </c>
      <c r="X37" s="12">
        <v>7</v>
      </c>
    </row>
    <row r="38" spans="1:24" ht="13.35" customHeight="1" x14ac:dyDescent="0.2">
      <c r="A38" s="78"/>
      <c r="I38" s="25"/>
      <c r="M38" s="70"/>
      <c r="N38" s="77"/>
      <c r="O38" s="12"/>
      <c r="T38" s="12" t="s">
        <v>289</v>
      </c>
      <c r="U38" s="12">
        <f>VLOOKUP(T38,$W$31:$X$37,2,0)</f>
        <v>7</v>
      </c>
    </row>
    <row r="39" spans="1:24" ht="13.35" customHeight="1" x14ac:dyDescent="0.2">
      <c r="A39" s="16" t="s">
        <v>290</v>
      </c>
      <c r="B39" s="79"/>
      <c r="C39" s="80" t="str">
        <f>HLOOKUP($B$5,Info!$F$117:$DD$118,2,0)</f>
        <v>???</v>
      </c>
      <c r="D39" s="80" t="str">
        <f>IF(B6="","",HLOOKUP($B$6,Info!$F$117:$DD$118,2,0))</f>
        <v>???</v>
      </c>
      <c r="E39" s="81" t="s">
        <v>291</v>
      </c>
      <c r="F39" s="82"/>
      <c r="G39" s="83"/>
      <c r="H39" s="84">
        <f>F41+I39*0.3</f>
        <v>17.399999999999999</v>
      </c>
      <c r="I39" s="84">
        <f>L32</f>
        <v>0</v>
      </c>
      <c r="M39" s="70"/>
      <c r="N39" s="70" t="s">
        <v>292</v>
      </c>
      <c r="O39" s="70"/>
      <c r="P39" s="70"/>
      <c r="T39" s="12" t="s">
        <v>289</v>
      </c>
      <c r="U39" s="12">
        <f>VLOOKUP(T39,$W$31:$X$37,2,0)</f>
        <v>7</v>
      </c>
    </row>
    <row r="40" spans="1:24" ht="13.35" customHeight="1" x14ac:dyDescent="0.2">
      <c r="A40" s="85" t="s">
        <v>293</v>
      </c>
      <c r="B40" s="86"/>
      <c r="C40" s="87"/>
      <c r="D40" s="71" t="s">
        <v>294</v>
      </c>
      <c r="E40" s="62" t="s">
        <v>295</v>
      </c>
      <c r="F40" s="88"/>
      <c r="G40" s="89" t="s">
        <v>296</v>
      </c>
      <c r="H40" s="16" t="s">
        <v>297</v>
      </c>
      <c r="I40" s="16" t="s">
        <v>298</v>
      </c>
      <c r="K40" s="45" t="s">
        <v>299</v>
      </c>
      <c r="O40" s="12"/>
    </row>
    <row r="41" spans="1:24" ht="13.35" customHeight="1" x14ac:dyDescent="0.2">
      <c r="A41" s="90" t="str">
        <f>VLOOKUP($D$41,Info!$DH$71:$DI$90,2)</f>
        <v>Clothes / None</v>
      </c>
      <c r="B41" s="80"/>
      <c r="C41" s="54"/>
      <c r="D41" s="91">
        <v>1</v>
      </c>
      <c r="E41" s="59" t="s">
        <v>300</v>
      </c>
      <c r="F41" s="59">
        <f>(50+VLOOKUP(Stats!$B$3,Info!$EE$70:$EF$158,2)+Stats!$I$19*3+Stats!$L$46)*0.3</f>
        <v>17.399999999999999</v>
      </c>
      <c r="G41" s="21" t="s">
        <v>301</v>
      </c>
      <c r="H41" s="21" t="s">
        <v>248</v>
      </c>
      <c r="I41" s="21" t="s">
        <v>302</v>
      </c>
      <c r="K41" s="12" t="s">
        <v>281</v>
      </c>
      <c r="L41" s="12">
        <f>IF(VLOOKUP(Stats!$D$41,Info!$DQ$71:$DT$90,4)+Info!$DV$96&gt;VLOOKUP(Stats!$D$41,Info!$DQ$71:$DT$90,3),VLOOKUP(Stats!$D$41,Info!$DQ$70:$DT$90,3),VLOOKUP(Stats!$D$41,Info!$DQ$71:$DT$90,4)+Info!$DV$96)</f>
        <v>0</v>
      </c>
      <c r="O41" s="12"/>
    </row>
    <row r="42" spans="1:24" ht="13.35" customHeight="1" x14ac:dyDescent="0.2">
      <c r="A42" s="92" t="s">
        <v>303</v>
      </c>
      <c r="B42" s="80"/>
      <c r="C42" s="54"/>
      <c r="D42" s="91"/>
      <c r="E42" s="21" t="s">
        <v>304</v>
      </c>
      <c r="F42" s="21">
        <f>F41*2</f>
        <v>34.799999999999997</v>
      </c>
      <c r="G42" s="21" t="s">
        <v>305</v>
      </c>
      <c r="H42" s="21" t="s">
        <v>248</v>
      </c>
      <c r="I42" s="21" t="s">
        <v>306</v>
      </c>
      <c r="K42" s="12" t="s">
        <v>285</v>
      </c>
      <c r="L42" s="12">
        <f>IF($I$19*3-(VLOOKUP(Stats!$D$41,Info!$DQ$71:$DV$90,6))&gt;0,(-VLOOKUP(Stats!$D$41,Info!$DQ$71:$DV$90,6)),IF(-$I$19*3&gt;0,0,-$I$19*3))</f>
        <v>0</v>
      </c>
      <c r="O42" s="12"/>
    </row>
    <row r="43" spans="1:24" ht="13.35" customHeight="1" x14ac:dyDescent="0.2">
      <c r="A43" s="90" t="s">
        <v>307</v>
      </c>
      <c r="B43" s="93"/>
      <c r="C43" s="54"/>
      <c r="D43" s="94"/>
      <c r="E43" s="21" t="s">
        <v>308</v>
      </c>
      <c r="F43" s="21">
        <f>F41*3</f>
        <v>52.199999999999996</v>
      </c>
      <c r="G43" s="21" t="s">
        <v>309</v>
      </c>
      <c r="H43" s="21">
        <v>20</v>
      </c>
      <c r="I43" s="21" t="s">
        <v>310</v>
      </c>
      <c r="K43" s="12" t="s">
        <v>287</v>
      </c>
      <c r="L43" s="12">
        <f>-VLOOKUP(Stats!$D$41,Info!$DQ$71:$DU$90,5)</f>
        <v>0</v>
      </c>
      <c r="O43" s="12"/>
    </row>
    <row r="44" spans="1:24" ht="13.35" customHeight="1" x14ac:dyDescent="0.2">
      <c r="A44" s="90" t="s">
        <v>311</v>
      </c>
      <c r="B44" s="95"/>
      <c r="C44" s="54"/>
      <c r="D44" s="96"/>
      <c r="E44" s="21" t="s">
        <v>312</v>
      </c>
      <c r="F44" s="21">
        <f>F41*4</f>
        <v>69.599999999999994</v>
      </c>
      <c r="G44" s="21" t="s">
        <v>313</v>
      </c>
      <c r="H44" s="21">
        <v>10</v>
      </c>
      <c r="I44" s="21" t="s">
        <v>314</v>
      </c>
      <c r="O44" s="12"/>
    </row>
    <row r="45" spans="1:24" ht="13.35" customHeight="1" x14ac:dyDescent="0.2">
      <c r="A45" s="90" t="s">
        <v>315</v>
      </c>
      <c r="B45" s="95"/>
      <c r="C45" s="54"/>
      <c r="D45" s="96"/>
      <c r="E45" s="97" t="s">
        <v>316</v>
      </c>
      <c r="F45" s="97">
        <f>F41*5</f>
        <v>87</v>
      </c>
      <c r="G45" s="97" t="s">
        <v>317</v>
      </c>
      <c r="H45" s="21">
        <v>0</v>
      </c>
      <c r="I45" s="21" t="s">
        <v>318</v>
      </c>
      <c r="K45" s="12" t="s">
        <v>319</v>
      </c>
      <c r="O45" s="12"/>
    </row>
    <row r="46" spans="1:24" ht="13.35" customHeight="1" x14ac:dyDescent="0.2">
      <c r="A46" s="90" t="s">
        <v>320</v>
      </c>
      <c r="B46" s="95"/>
      <c r="C46" s="54"/>
      <c r="D46" s="98">
        <f>I19*3+D43+D42+D44+D45+IF(L47&lt;0,L47,0)</f>
        <v>48</v>
      </c>
      <c r="E46" s="62" t="s">
        <v>321</v>
      </c>
      <c r="F46" s="99"/>
      <c r="G46" s="100"/>
      <c r="H46" s="101">
        <f>L48</f>
        <v>0</v>
      </c>
      <c r="I46" s="21"/>
      <c r="K46" s="12" t="s">
        <v>281</v>
      </c>
      <c r="L46" s="12">
        <f>IF($D$44&gt;0,L41,L35)</f>
        <v>0</v>
      </c>
      <c r="O46" s="12"/>
    </row>
    <row r="47" spans="1:24" ht="13.35" customHeight="1" x14ac:dyDescent="0.2">
      <c r="I47" s="25"/>
      <c r="K47" s="12" t="s">
        <v>285</v>
      </c>
      <c r="L47" s="12">
        <f>IF($D$44&gt;0,L42,L36)</f>
        <v>0</v>
      </c>
      <c r="O47" s="12"/>
    </row>
    <row r="48" spans="1:24" ht="13.35" customHeight="1" x14ac:dyDescent="0.2">
      <c r="A48" s="102" t="s">
        <v>322</v>
      </c>
      <c r="B48" s="63"/>
      <c r="C48" s="17" t="str">
        <f>IF(Skills!$R$381&gt;0,Skills!$T$381,"")</f>
        <v>Thrown</v>
      </c>
      <c r="D48" s="17" t="str">
        <f>IF(Skills!$R$382&gt;0,Skills!$T$382,"")</f>
        <v>Thrown</v>
      </c>
      <c r="E48" s="17" t="str">
        <f>IF(Skills!$R$383&gt;0,Skills!$T$383,"")</f>
        <v>Thrown</v>
      </c>
      <c r="F48" s="17" t="str">
        <f>IF(Skills!$R$384&gt;0,Skills!$T$384,"")</f>
        <v>Artillery</v>
      </c>
      <c r="G48" s="17" t="str">
        <f>IF(Skills!$R$385&gt;0,Skills!$T$385,"")</f>
        <v>Missile</v>
      </c>
      <c r="H48" s="17" t="str">
        <f>IF(Skills!$R$386&gt;0,Skills!$T$386,"")</f>
        <v>Missile</v>
      </c>
      <c r="I48" s="17" t="str">
        <f>IF(Skills!$R$387&gt;0,Skills!$T$387,"")</f>
        <v>Missile</v>
      </c>
      <c r="K48" s="12" t="s">
        <v>287</v>
      </c>
      <c r="L48" s="12">
        <f>IF($D$44&gt;0,L43,L37)</f>
        <v>0</v>
      </c>
      <c r="O48" s="12"/>
    </row>
    <row r="49" spans="1:17" ht="13.35" customHeight="1" x14ac:dyDescent="0.2">
      <c r="A49" s="90" t="s">
        <v>323</v>
      </c>
      <c r="B49" s="103"/>
      <c r="C49" s="76">
        <f>IF(Skills!$R$381&gt;0,Skills!$R$381,0)</f>
        <v>3.4901900000000001</v>
      </c>
      <c r="D49" s="76">
        <f>IF(Skills!$R$382&gt;0,Skills!$R$382,0)</f>
        <v>3.4901800000000001</v>
      </c>
      <c r="E49" s="76">
        <f>IF(Skills!$R$383&gt;0,Skills!$R$383,0)</f>
        <v>3.49017</v>
      </c>
      <c r="F49" s="76">
        <f>IF(Skills!$R$384&gt;0,Skills!$R$384,0)</f>
        <v>3.4901300000000002</v>
      </c>
      <c r="G49" s="76">
        <f>IF(Skills!$R$385&gt;0,Skills!$R$385,0)</f>
        <v>3.4901200000000001</v>
      </c>
      <c r="H49" s="76">
        <f>IF(Skills!$R$386&gt;0,Skills!$R$386,0)</f>
        <v>3.49011</v>
      </c>
      <c r="I49" s="76">
        <f>IF(Skills!$R$387&gt;0,Skills!$R$387,0)</f>
        <v>3.4901000000000004</v>
      </c>
      <c r="O49" s="12"/>
      <c r="P49" s="12">
        <f>IF($I$19*3-(VLOOKUP(Stats!$D$41,Info!$DH$71:$DM$90,6)-Stats!$D$44)&gt;0,(-VLOOKUP(Stats!$D$41,Info!$DH$71:$DM$90,6)+Stats!$D$44),IF(-$I$19*3&gt;0,0,-$I$19*3))</f>
        <v>0</v>
      </c>
    </row>
    <row r="50" spans="1:17" ht="13.35" customHeight="1" x14ac:dyDescent="0.2">
      <c r="A50" s="90" t="s">
        <v>324</v>
      </c>
      <c r="B50" s="103"/>
      <c r="C50" s="76"/>
      <c r="D50" s="76"/>
      <c r="E50" s="76"/>
      <c r="F50" s="76"/>
      <c r="G50" s="76"/>
      <c r="H50" s="76"/>
      <c r="I50" s="76"/>
      <c r="K50" s="12" t="s">
        <v>325</v>
      </c>
      <c r="M50" s="70"/>
      <c r="O50" s="12"/>
    </row>
    <row r="51" spans="1:17" ht="13.35" customHeight="1" x14ac:dyDescent="0.2">
      <c r="A51" s="104" t="s">
        <v>326</v>
      </c>
      <c r="B51" s="103"/>
      <c r="C51" s="231">
        <f>IF(Skills!$R$381&gt;0,Stats!C49+Stats!C50,0)</f>
        <v>3.4901900000000001</v>
      </c>
      <c r="D51" s="231">
        <f>IF(Skills!$R$382&gt;0,Stats!D49+Stats!D50,0)</f>
        <v>3.4901800000000001</v>
      </c>
      <c r="E51" s="231">
        <f>IF(Skills!$R$383&gt;0,Stats!E49+Stats!E50,0)</f>
        <v>3.49017</v>
      </c>
      <c r="F51" s="231">
        <f>IF(Skills!$R$384&gt;0,Stats!F49+Stats!F50,0)</f>
        <v>3.4901300000000002</v>
      </c>
      <c r="G51" s="231">
        <f>IF(Skills!$R$385&gt;0,Stats!G49+Stats!G50,0)</f>
        <v>3.4901200000000001</v>
      </c>
      <c r="H51" s="231">
        <f>IF(Skills!$R$386&gt;0,Stats!H49+Stats!H50,0)</f>
        <v>3.49011</v>
      </c>
      <c r="I51" s="231">
        <f>IF(Skills!$R$387&gt;0,Stats!I49+Stats!I50,0)</f>
        <v>3.4901000000000004</v>
      </c>
      <c r="K51" s="12" t="s">
        <v>327</v>
      </c>
      <c r="M51" s="70"/>
      <c r="O51" s="12"/>
    </row>
    <row r="52" spans="1:17" ht="13.35" customHeight="1" x14ac:dyDescent="0.2">
      <c r="I52" s="25"/>
      <c r="K52" s="12" t="s">
        <v>328</v>
      </c>
      <c r="O52" s="12"/>
    </row>
    <row r="53" spans="1:17" ht="13.35" customHeight="1" x14ac:dyDescent="0.2">
      <c r="A53" s="90" t="s">
        <v>329</v>
      </c>
      <c r="B53" s="80"/>
      <c r="C53" s="76">
        <f>IF(C49&lt;0.01,0,IF(C48=Skills!$B$130,$I$15,IF(C48=Skills!$B$131,$I$15,IF(C48=Skills!$B$132,$I$15,IF(C48=Skills!$B$133,$I$15,IF(C48=Skills!$B$134,$I$15,$I$19))))))</f>
        <v>16</v>
      </c>
      <c r="D53" s="76">
        <f>IF(D49&lt;0.01,0,IF(D48=Skills!$B$130,$I$15,IF(D48=Skills!$B$131,$I$15,IF(D48=Skills!$B$132,$I$15,IF(D48=Skills!$B$133,$I$15,IF(D48=Skills!$B$134,$I$15,$I$19))))))</f>
        <v>16</v>
      </c>
      <c r="E53" s="76">
        <f>IF(E49&lt;0.01,0,IF(E48=Skills!$B$130,$I$15,IF(E48=Skills!$B$131,$I$15,IF(E48=Skills!$B$132,$I$15,IF(E48=Skills!$B$133,$I$15,IF(E48=Skills!$B$134,$I$15,$I$19))))))</f>
        <v>16</v>
      </c>
      <c r="F53" s="76">
        <f>IF(F49&lt;0.01,0,IF(F48=Skills!$B$130,$I$15,IF(F48=Skills!$B$131,$I$15,IF(F48=Skills!$B$132,$I$15,IF(F48=Skills!$B$133,$I$15,IF(F48=Skills!$B$134,$I$15,$I$19))))))</f>
        <v>16</v>
      </c>
      <c r="G53" s="76">
        <f>IF(G49&lt;0.01,0,IF(G48=Skills!$B$130,$I$15,IF(G48=Skills!$B$131,$I$15,IF(G48=Skills!$B$132,$I$15,IF(G48=Skills!$B$133,$I$15,IF(G48=Skills!$B$134,$I$15,$I$19))))))</f>
        <v>16</v>
      </c>
      <c r="H53" s="76">
        <f>IF(H49&lt;0.01,0,IF(H48=Skills!$B$130,$I$15,IF(H48=Skills!$B$131,$I$15,IF(H48=Skills!$B$132,$I$15,IF(H48=Skills!$B$133,$I$15,IF(H48=Skills!$B$134,$I$15,$I$19))))))</f>
        <v>16</v>
      </c>
      <c r="I53" s="76">
        <f>IF(I49&lt;0.01,0,IF(I48=Skills!$B$130,$I$15,IF(I48=Skills!$B$131,$I$15,IF(I48=Skills!$B$132,$I$15,IF(I48=Skills!$B$133,$I$15,IF(I48=Skills!$B$134,$I$15,$I$19))))))</f>
        <v>16</v>
      </c>
      <c r="K53" s="12" t="s">
        <v>330</v>
      </c>
      <c r="O53" s="12"/>
    </row>
    <row r="54" spans="1:17" ht="13.35" customHeight="1" x14ac:dyDescent="0.2">
      <c r="A54" s="90" t="s">
        <v>331</v>
      </c>
      <c r="B54" s="80"/>
      <c r="C54" s="76"/>
      <c r="D54" s="76"/>
      <c r="E54" s="76"/>
      <c r="F54" s="76"/>
      <c r="G54" s="76"/>
      <c r="H54" s="76"/>
      <c r="I54" s="76"/>
      <c r="O54" s="12"/>
    </row>
    <row r="55" spans="1:17" ht="13.35" customHeight="1" x14ac:dyDescent="0.2">
      <c r="A55" s="30" t="s">
        <v>332</v>
      </c>
      <c r="B55" s="27"/>
      <c r="C55" s="105">
        <f t="shared" ref="C55:I55" si="6">C53+C54</f>
        <v>16</v>
      </c>
      <c r="D55" s="105">
        <f t="shared" si="6"/>
        <v>16</v>
      </c>
      <c r="E55" s="105">
        <f t="shared" si="6"/>
        <v>16</v>
      </c>
      <c r="F55" s="105">
        <f t="shared" si="6"/>
        <v>16</v>
      </c>
      <c r="G55" s="105">
        <f t="shared" si="6"/>
        <v>16</v>
      </c>
      <c r="H55" s="105">
        <f t="shared" si="6"/>
        <v>16</v>
      </c>
      <c r="I55" s="105">
        <f t="shared" si="6"/>
        <v>16</v>
      </c>
      <c r="K55" s="12" t="s">
        <v>333</v>
      </c>
      <c r="O55" s="12"/>
    </row>
    <row r="56" spans="1:17" ht="13.35" customHeight="1" x14ac:dyDescent="0.2">
      <c r="A56" s="23" t="s">
        <v>334</v>
      </c>
      <c r="B56" s="12" t="s">
        <v>335</v>
      </c>
      <c r="C56" s="12" t="s">
        <v>336</v>
      </c>
      <c r="I56" s="25"/>
      <c r="O56" s="12"/>
    </row>
    <row r="57" spans="1:17" ht="13.35" customHeight="1" x14ac:dyDescent="0.2">
      <c r="A57" s="90"/>
      <c r="B57" s="80" t="s">
        <v>335</v>
      </c>
      <c r="C57" s="80" t="s">
        <v>337</v>
      </c>
      <c r="D57" s="80"/>
      <c r="E57" s="80"/>
      <c r="F57" s="106"/>
      <c r="G57" s="106"/>
      <c r="H57" s="80"/>
      <c r="I57" s="103"/>
      <c r="K57" s="107" t="s">
        <v>338</v>
      </c>
      <c r="L57" s="108" t="s">
        <v>339</v>
      </c>
      <c r="M57" s="108" t="s">
        <v>340</v>
      </c>
      <c r="N57" s="109" t="s">
        <v>341</v>
      </c>
      <c r="O57" s="2"/>
      <c r="P57" s="2"/>
      <c r="Q57" s="2" t="s">
        <v>4136</v>
      </c>
    </row>
    <row r="58" spans="1:17" ht="13.35" customHeight="1" x14ac:dyDescent="0.2">
      <c r="A58" s="90"/>
      <c r="B58" s="106"/>
      <c r="C58" s="80"/>
      <c r="D58" s="80"/>
      <c r="E58" s="80"/>
      <c r="F58" s="106"/>
      <c r="G58" s="106"/>
      <c r="H58" s="80"/>
      <c r="I58" s="103"/>
      <c r="K58" s="110" t="s">
        <v>342</v>
      </c>
      <c r="L58" s="22">
        <f>VLOOKUP(K58,TF!$E$2:$F$304,2,0)</f>
        <v>-10</v>
      </c>
      <c r="M58" s="13">
        <f>VLOOKUP(K58,TF!$E$2:$G$209,3,0)</f>
        <v>0</v>
      </c>
      <c r="N58" s="25" t="str">
        <f>VLOOKUP(K58,TF!$E$2:$H$209,4,0)</f>
        <v>Mental</v>
      </c>
      <c r="O58" s="2"/>
      <c r="P58" s="2"/>
      <c r="Q58" s="2"/>
    </row>
    <row r="59" spans="1:17" ht="13.35" customHeight="1" x14ac:dyDescent="0.2">
      <c r="A59" s="81" t="s">
        <v>343</v>
      </c>
      <c r="B59" s="111"/>
      <c r="C59" s="111"/>
      <c r="D59" s="111"/>
      <c r="E59" s="112" t="s">
        <v>344</v>
      </c>
      <c r="F59" s="111" t="str">
        <f>VLOOKUP(L9,Info!DY71:ED83,2)</f>
        <v>Lower Lower Class</v>
      </c>
      <c r="G59" s="111"/>
      <c r="H59" s="111" t="str">
        <f>VLOOKUP(L9,Info!DY71:ED83,6)</f>
        <v>Peasant</v>
      </c>
      <c r="I59" s="113"/>
      <c r="K59" s="110" t="s">
        <v>345</v>
      </c>
      <c r="L59" s="22" t="str">
        <f>VLOOKUP(K59,TF!$E$2:$F$304,2,0)</f>
        <v xml:space="preserve"> </v>
      </c>
      <c r="M59" s="13">
        <f>VLOOKUP(K59,TF!$E$2:$G$209,3,0)</f>
        <v>0</v>
      </c>
      <c r="N59" s="25">
        <f>VLOOKUP(K59,TF!$E$2:$H$209,4,0)</f>
        <v>0</v>
      </c>
      <c r="O59" s="2"/>
      <c r="P59" s="2"/>
      <c r="Q59" s="2"/>
    </row>
    <row r="60" spans="1:17" ht="13.35" customHeight="1" x14ac:dyDescent="0.2">
      <c r="A60" s="90"/>
      <c r="B60" s="80"/>
      <c r="C60" s="80"/>
      <c r="D60" s="80"/>
      <c r="E60" s="80"/>
      <c r="F60" s="80"/>
      <c r="G60" s="80"/>
      <c r="H60" s="80"/>
      <c r="I60" s="103"/>
      <c r="K60" s="110" t="s">
        <v>345</v>
      </c>
      <c r="L60" s="22" t="str">
        <f>VLOOKUP(K60,TF!$E$2:$F$304,2,0)</f>
        <v xml:space="preserve"> </v>
      </c>
      <c r="M60" s="13">
        <f>VLOOKUP(K60,TF!$E$2:$G$209,3,0)</f>
        <v>0</v>
      </c>
      <c r="N60" s="25">
        <f>VLOOKUP(K60,TF!$E$2:$H$209,4,0)</f>
        <v>0</v>
      </c>
      <c r="O60" s="2"/>
      <c r="P60" s="2"/>
      <c r="Q60" s="2"/>
    </row>
    <row r="61" spans="1:17" ht="13.35" customHeight="1" x14ac:dyDescent="0.2">
      <c r="A61" s="90"/>
      <c r="B61" s="80"/>
      <c r="C61" s="80"/>
      <c r="D61" s="80"/>
      <c r="E61" s="80"/>
      <c r="F61" s="80"/>
      <c r="G61" s="80"/>
      <c r="H61" s="80"/>
      <c r="I61" s="103"/>
      <c r="K61" s="229" t="s">
        <v>345</v>
      </c>
      <c r="L61" s="31" t="str">
        <f>VLOOKUP(K61,TF!$E$2:$F$304,2,0)</f>
        <v xml:space="preserve"> </v>
      </c>
      <c r="M61" s="114">
        <f>VLOOKUP(K61,TF!$E$2:$G$209,3,0)</f>
        <v>0</v>
      </c>
      <c r="N61" s="43">
        <f>VLOOKUP(K61,TF!$E$2:$H$209,4,0)</f>
        <v>0</v>
      </c>
      <c r="O61" s="2"/>
      <c r="P61" s="2"/>
      <c r="Q61" s="2"/>
    </row>
    <row r="62" spans="1:17" ht="13.35" customHeight="1" x14ac:dyDescent="0.2">
      <c r="A62" s="90"/>
      <c r="B62" s="80"/>
      <c r="C62" s="80"/>
      <c r="D62" s="80"/>
      <c r="E62" s="80"/>
      <c r="F62" s="80"/>
      <c r="G62" s="80"/>
      <c r="H62" s="80"/>
      <c r="I62" s="103"/>
      <c r="K62" s="2"/>
      <c r="L62" s="2"/>
      <c r="M62" s="4"/>
      <c r="N62" s="13"/>
      <c r="O62" s="115"/>
    </row>
    <row r="63" spans="1:17" ht="13.35" customHeight="1" x14ac:dyDescent="0.2">
      <c r="A63" s="90"/>
      <c r="B63" s="80"/>
      <c r="C63" s="80"/>
      <c r="D63" s="80"/>
      <c r="E63" s="80"/>
      <c r="F63" s="80"/>
      <c r="G63" s="80"/>
      <c r="H63" s="80"/>
      <c r="I63" s="103"/>
      <c r="K63" s="13" t="s">
        <v>209</v>
      </c>
      <c r="L63" s="115">
        <f>SUM(L58:L61)</f>
        <v>-10</v>
      </c>
      <c r="M63" s="4"/>
      <c r="N63" s="13"/>
      <c r="O63" s="115"/>
    </row>
    <row r="64" spans="1:17" ht="13.35" customHeight="1" x14ac:dyDescent="0.2">
      <c r="A64" s="116" t="s">
        <v>346</v>
      </c>
      <c r="B64" s="63"/>
      <c r="C64" s="17" t="s">
        <v>347</v>
      </c>
      <c r="D64" s="17" t="s">
        <v>348</v>
      </c>
      <c r="E64" s="17" t="s">
        <v>349</v>
      </c>
      <c r="F64" s="117" t="s">
        <v>350</v>
      </c>
      <c r="G64" s="117"/>
      <c r="H64" s="117"/>
      <c r="I64" s="17" t="s">
        <v>351</v>
      </c>
      <c r="K64" s="118" t="s">
        <v>352</v>
      </c>
      <c r="L64" s="119" t="s">
        <v>339</v>
      </c>
      <c r="M64" s="119" t="s">
        <v>340</v>
      </c>
      <c r="N64" s="120" t="s">
        <v>353</v>
      </c>
      <c r="O64" s="115"/>
      <c r="Q64" s="2" t="s">
        <v>4136</v>
      </c>
    </row>
    <row r="65" spans="1:17" ht="13.35" customHeight="1" x14ac:dyDescent="0.2">
      <c r="A65" s="104" t="s">
        <v>354</v>
      </c>
      <c r="B65" s="106"/>
      <c r="C65" s="21"/>
      <c r="D65" s="38"/>
      <c r="E65" s="38"/>
      <c r="F65" s="121"/>
      <c r="G65" s="121"/>
      <c r="H65" s="121"/>
      <c r="I65" s="122"/>
      <c r="K65" s="123" t="s">
        <v>355</v>
      </c>
      <c r="L65" s="115">
        <f>VLOOKUP(K65,TF!$A$2:$B$278,2,0)</f>
        <v>8</v>
      </c>
      <c r="M65" s="13" t="str">
        <f>VLOOKUP(K65,TF!$A$2:$C$286,3,0)</f>
        <v>+10 Artistic Group. One E-skill</v>
      </c>
      <c r="N65" s="124" t="str">
        <f>VLOOKUP(K65,TF!$A$2:$D$278,4,0)</f>
        <v>Training, no limit</v>
      </c>
      <c r="O65" s="115"/>
      <c r="Q65" s="13" t="str">
        <f>VLOOKUP(K65,TF!$A$2:$C$286,3,0)</f>
        <v>+10 Artistic Group. One E-skill</v>
      </c>
    </row>
    <row r="66" spans="1:17" ht="13.35" customHeight="1" x14ac:dyDescent="0.2">
      <c r="A66" s="104" t="s">
        <v>356</v>
      </c>
      <c r="B66" s="106"/>
      <c r="C66" s="21">
        <f>VLOOKUP(Stats!$F$59,Info!$DZ$71:$EC$81,4,0)</f>
        <v>0</v>
      </c>
      <c r="D66" s="38"/>
      <c r="E66" s="38"/>
      <c r="F66" s="121"/>
      <c r="G66" s="121"/>
      <c r="H66" s="121"/>
      <c r="I66" s="122"/>
      <c r="K66" s="123" t="s">
        <v>345</v>
      </c>
      <c r="L66" s="115" t="str">
        <f>VLOOKUP(K66,TF!$A$2:$B$278,2,0)</f>
        <v xml:space="preserve"> </v>
      </c>
      <c r="M66" s="13" t="str">
        <f>VLOOKUP(K66,TF!$A$2:$C$286,3,0)</f>
        <v xml:space="preserve"> </v>
      </c>
      <c r="N66" s="124" t="str">
        <f>VLOOKUP(K66,TF!$A$2:$D$278,4,0)</f>
        <v xml:space="preserve"> </v>
      </c>
      <c r="O66" s="115"/>
      <c r="Q66" s="13" t="str">
        <f>VLOOKUP(K66,TF!$A$2:$C$286,3,0)</f>
        <v xml:space="preserve"> </v>
      </c>
    </row>
    <row r="67" spans="1:17" ht="13.35" customHeight="1" x14ac:dyDescent="0.2">
      <c r="A67" s="104" t="s">
        <v>357</v>
      </c>
      <c r="B67" s="106"/>
      <c r="C67" s="21">
        <f>VLOOKUP(Stats!$F$59,Info!$DZ$71:$EC$81,3,0)</f>
        <v>0</v>
      </c>
      <c r="D67" s="38"/>
      <c r="E67" s="38"/>
      <c r="F67" s="121"/>
      <c r="G67" s="121"/>
      <c r="H67" s="121"/>
      <c r="I67" s="122"/>
      <c r="K67" s="123" t="s">
        <v>345</v>
      </c>
      <c r="L67" s="115" t="str">
        <f>VLOOKUP(K67,TF!$A$2:$B$278,2,0)</f>
        <v xml:space="preserve"> </v>
      </c>
      <c r="M67" s="13" t="str">
        <f>VLOOKUP(K67,TF!$A$2:$C$286,3,0)</f>
        <v xml:space="preserve"> </v>
      </c>
      <c r="N67" s="124" t="str">
        <f>VLOOKUP(K67,TF!$A$2:$D$278,4,0)</f>
        <v xml:space="preserve"> </v>
      </c>
      <c r="O67" s="115"/>
      <c r="Q67" s="13" t="str">
        <f>VLOOKUP(K67,TF!$A$2:$C$286,3,0)</f>
        <v xml:space="preserve"> </v>
      </c>
    </row>
    <row r="68" spans="1:17" ht="13.35" customHeight="1" x14ac:dyDescent="0.2">
      <c r="A68" s="104" t="s">
        <v>358</v>
      </c>
      <c r="B68" s="106"/>
      <c r="C68" s="21"/>
      <c r="D68" s="38"/>
      <c r="E68" s="38"/>
      <c r="F68" s="121"/>
      <c r="G68" s="121"/>
      <c r="H68" s="121"/>
      <c r="I68" s="122"/>
      <c r="K68" s="123" t="s">
        <v>345</v>
      </c>
      <c r="L68" s="115" t="str">
        <f>VLOOKUP(K68,TF!$A$2:$B$278,2,0)</f>
        <v xml:space="preserve"> </v>
      </c>
      <c r="M68" s="13" t="str">
        <f>VLOOKUP(K68,TF!$A$2:$C$286,3,0)</f>
        <v xml:space="preserve"> </v>
      </c>
      <c r="N68" s="124" t="str">
        <f>VLOOKUP(K68,TF!$A$2:$D$278,4,0)</f>
        <v xml:space="preserve"> </v>
      </c>
      <c r="O68" s="115">
        <f>SUM(O58:O67)</f>
        <v>0</v>
      </c>
      <c r="Q68" s="13" t="str">
        <f>VLOOKUP(K68,TF!$A$2:$C$286,3,0)</f>
        <v xml:space="preserve"> </v>
      </c>
    </row>
    <row r="69" spans="1:17" ht="13.35" customHeight="1" x14ac:dyDescent="0.2">
      <c r="A69" s="104" t="s">
        <v>359</v>
      </c>
      <c r="B69" s="106"/>
      <c r="C69" s="21">
        <f>VLOOKUP(Stats!$F$59,Info!$DZ$71:$EC$81,2,0)</f>
        <v>1</v>
      </c>
      <c r="D69" s="38"/>
      <c r="E69" s="38"/>
      <c r="F69" s="121"/>
      <c r="G69" s="121"/>
      <c r="H69" s="121"/>
      <c r="I69" s="122"/>
      <c r="K69" s="123" t="s">
        <v>345</v>
      </c>
      <c r="L69" s="115" t="str">
        <f>VLOOKUP(K69,TF!$A$2:$B$278,2,0)</f>
        <v xml:space="preserve"> </v>
      </c>
      <c r="M69" s="13" t="str">
        <f>VLOOKUP(K69,TF!$A$2:$C$286,3,0)</f>
        <v xml:space="preserve"> </v>
      </c>
      <c r="N69" s="124" t="str">
        <f>VLOOKUP(K69,TF!$A$2:$D$278,4,0)</f>
        <v xml:space="preserve"> </v>
      </c>
      <c r="Q69" s="13" t="str">
        <f>VLOOKUP(K69,TF!$A$2:$C$286,3,0)</f>
        <v xml:space="preserve"> </v>
      </c>
    </row>
    <row r="70" spans="1:17" ht="13.35" customHeight="1" x14ac:dyDescent="0.2">
      <c r="A70" s="104" t="s">
        <v>360</v>
      </c>
      <c r="B70" s="106"/>
      <c r="C70" s="21"/>
      <c r="D70" s="38"/>
      <c r="E70" s="38"/>
      <c r="F70" s="121"/>
      <c r="G70" s="121"/>
      <c r="H70" s="121"/>
      <c r="I70" s="122"/>
      <c r="K70" s="123" t="s">
        <v>345</v>
      </c>
      <c r="L70" s="115" t="str">
        <f>VLOOKUP(K70,TF!$A$2:$B$278,2,0)</f>
        <v xml:space="preserve"> </v>
      </c>
      <c r="M70" s="13" t="str">
        <f>VLOOKUP(K70,TF!$A$2:$C$286,3,0)</f>
        <v xml:space="preserve"> </v>
      </c>
      <c r="N70" s="124" t="str">
        <f>VLOOKUP(K70,TF!$A$2:$D$278,4,0)</f>
        <v xml:space="preserve"> </v>
      </c>
      <c r="Q70" s="13" t="str">
        <f>VLOOKUP(K70,TF!$A$2:$C$286,3,0)</f>
        <v xml:space="preserve"> </v>
      </c>
    </row>
    <row r="71" spans="1:17" ht="13.35" customHeight="1" x14ac:dyDescent="0.2">
      <c r="A71" s="104"/>
      <c r="B71" s="106"/>
      <c r="C71" s="54"/>
      <c r="D71" s="80"/>
      <c r="E71" s="80"/>
      <c r="F71" s="80"/>
      <c r="G71" s="121"/>
      <c r="H71" s="121"/>
      <c r="I71" s="125"/>
      <c r="K71" s="123" t="s">
        <v>345</v>
      </c>
      <c r="L71" s="115" t="str">
        <f>VLOOKUP(K71,TF!$A$2:$B$278,2,0)</f>
        <v xml:space="preserve"> </v>
      </c>
      <c r="M71" s="13" t="str">
        <f>VLOOKUP(K71,TF!$A$2:$C$286,3,0)</f>
        <v xml:space="preserve"> </v>
      </c>
      <c r="N71" s="124" t="str">
        <f>VLOOKUP(K71,TF!$A$2:$D$278,4,0)</f>
        <v xml:space="preserve"> </v>
      </c>
      <c r="Q71" s="13" t="str">
        <f>VLOOKUP(K71,TF!$A$2:$C$286,3,0)</f>
        <v xml:space="preserve"> </v>
      </c>
    </row>
    <row r="72" spans="1:17" ht="13.35" customHeight="1" x14ac:dyDescent="0.2">
      <c r="A72" s="116" t="s">
        <v>361</v>
      </c>
      <c r="B72" s="126"/>
      <c r="C72" s="127"/>
      <c r="D72" s="128" t="s">
        <v>339</v>
      </c>
      <c r="E72" s="127"/>
      <c r="F72" s="116" t="s">
        <v>362</v>
      </c>
      <c r="G72" s="127"/>
      <c r="H72" s="127"/>
      <c r="I72" s="49" t="s">
        <v>339</v>
      </c>
      <c r="K72" s="230" t="s">
        <v>345</v>
      </c>
      <c r="L72" s="129" t="str">
        <f>VLOOKUP(K72,TF!$A$2:$B$278,2,0)</f>
        <v xml:space="preserve"> </v>
      </c>
      <c r="M72" s="114" t="str">
        <f>VLOOKUP(K72,TF!$A$2:$C$286,3,0)</f>
        <v xml:space="preserve"> </v>
      </c>
      <c r="N72" s="130" t="str">
        <f>VLOOKUP(K72,TF!$A$2:$D$278,4,0)</f>
        <v xml:space="preserve"> </v>
      </c>
      <c r="Q72" s="13" t="str">
        <f>VLOOKUP(K72,TF!$A$2:$C$286,3,0)</f>
        <v xml:space="preserve"> </v>
      </c>
    </row>
    <row r="73" spans="1:17" ht="13.35" customHeight="1" x14ac:dyDescent="0.2">
      <c r="A73" s="90" t="str">
        <f t="shared" ref="A73:A80" si="7">K65</f>
        <v>Artist</v>
      </c>
      <c r="B73" s="106"/>
      <c r="C73" s="80"/>
      <c r="D73" s="54">
        <f t="shared" ref="D73:D80" si="8">L65</f>
        <v>8</v>
      </c>
      <c r="E73" s="80"/>
      <c r="F73" s="90" t="str">
        <f>K58</f>
        <v>Absent-Minded</v>
      </c>
      <c r="G73" s="80"/>
      <c r="H73" s="80"/>
      <c r="I73" s="131">
        <f>L58</f>
        <v>-10</v>
      </c>
      <c r="K73" s="13"/>
      <c r="L73" s="22"/>
      <c r="M73" s="13"/>
    </row>
    <row r="74" spans="1:17" ht="13.35" customHeight="1" x14ac:dyDescent="0.2">
      <c r="A74" s="90" t="str">
        <f t="shared" si="7"/>
        <v xml:space="preserve"> </v>
      </c>
      <c r="B74" s="106"/>
      <c r="C74" s="80"/>
      <c r="D74" s="54" t="str">
        <f t="shared" si="8"/>
        <v xml:space="preserve"> </v>
      </c>
      <c r="E74" s="80"/>
      <c r="F74" s="90" t="str">
        <f>K59</f>
        <v xml:space="preserve"> </v>
      </c>
      <c r="G74" s="80"/>
      <c r="H74" s="80"/>
      <c r="I74" s="131" t="str">
        <f>L59</f>
        <v xml:space="preserve"> </v>
      </c>
      <c r="K74" s="13"/>
      <c r="L74" s="22"/>
      <c r="M74" s="13"/>
    </row>
    <row r="75" spans="1:17" ht="13.35" customHeight="1" x14ac:dyDescent="0.2">
      <c r="A75" s="90" t="str">
        <f t="shared" si="7"/>
        <v xml:space="preserve"> </v>
      </c>
      <c r="B75" s="106"/>
      <c r="C75" s="80"/>
      <c r="D75" s="54" t="str">
        <f t="shared" si="8"/>
        <v xml:space="preserve"> </v>
      </c>
      <c r="E75" s="80"/>
      <c r="F75" s="90" t="str">
        <f>K60</f>
        <v xml:space="preserve"> </v>
      </c>
      <c r="G75" s="80"/>
      <c r="H75" s="80"/>
      <c r="I75" s="131" t="str">
        <f>L60</f>
        <v xml:space="preserve"> </v>
      </c>
      <c r="K75" s="13"/>
      <c r="L75" s="22"/>
      <c r="M75" s="13"/>
    </row>
    <row r="76" spans="1:17" ht="13.35" customHeight="1" x14ac:dyDescent="0.2">
      <c r="A76" s="90" t="str">
        <f t="shared" si="7"/>
        <v xml:space="preserve"> </v>
      </c>
      <c r="B76" s="106"/>
      <c r="C76" s="80"/>
      <c r="D76" s="54" t="str">
        <f t="shared" si="8"/>
        <v xml:space="preserve"> </v>
      </c>
      <c r="E76" s="80"/>
      <c r="F76" s="90" t="str">
        <f>K61</f>
        <v xml:space="preserve"> </v>
      </c>
      <c r="G76" s="80"/>
      <c r="H76" s="80"/>
      <c r="I76" s="131" t="str">
        <f>L61</f>
        <v xml:space="preserve"> </v>
      </c>
      <c r="K76" s="13" t="s">
        <v>363</v>
      </c>
      <c r="L76" s="22">
        <f>SUM(L65:L75)</f>
        <v>8</v>
      </c>
      <c r="M76" s="13"/>
    </row>
    <row r="77" spans="1:17" ht="13.35" customHeight="1" x14ac:dyDescent="0.2">
      <c r="A77" s="90" t="str">
        <f t="shared" si="7"/>
        <v xml:space="preserve"> </v>
      </c>
      <c r="B77" s="106"/>
      <c r="C77" s="80"/>
      <c r="D77" s="54" t="str">
        <f t="shared" si="8"/>
        <v xml:space="preserve"> </v>
      </c>
      <c r="E77" s="80"/>
      <c r="F77" s="90"/>
      <c r="G77" s="80"/>
      <c r="H77" s="80"/>
      <c r="I77" s="103"/>
      <c r="K77" s="13" t="s">
        <v>364</v>
      </c>
      <c r="L77" s="22">
        <f>L5</f>
        <v>40</v>
      </c>
      <c r="M77" s="13"/>
    </row>
    <row r="78" spans="1:17" ht="13.35" customHeight="1" x14ac:dyDescent="0.2">
      <c r="A78" s="90" t="str">
        <f t="shared" si="7"/>
        <v xml:space="preserve"> </v>
      </c>
      <c r="B78" s="106"/>
      <c r="C78" s="80"/>
      <c r="D78" s="54" t="str">
        <f t="shared" si="8"/>
        <v xml:space="preserve"> </v>
      </c>
      <c r="E78" s="80"/>
      <c r="F78" s="90"/>
      <c r="G78" s="80"/>
      <c r="H78" s="80"/>
      <c r="I78" s="103"/>
      <c r="K78" s="45" t="s">
        <v>365</v>
      </c>
      <c r="L78" s="65">
        <f>-L76+L77-L63</f>
        <v>42</v>
      </c>
      <c r="M78" s="13"/>
    </row>
    <row r="79" spans="1:17" ht="13.35" customHeight="1" x14ac:dyDescent="0.2">
      <c r="A79" s="90" t="str">
        <f t="shared" si="7"/>
        <v xml:space="preserve"> </v>
      </c>
      <c r="B79" s="106"/>
      <c r="C79" s="80"/>
      <c r="D79" s="54" t="str">
        <f t="shared" si="8"/>
        <v xml:space="preserve"> </v>
      </c>
      <c r="E79" s="80"/>
      <c r="F79" s="90"/>
      <c r="G79" s="80"/>
      <c r="H79" s="80"/>
      <c r="I79" s="103"/>
      <c r="K79" s="2"/>
      <c r="L79" s="2"/>
      <c r="M79" s="2"/>
    </row>
    <row r="80" spans="1:17" ht="13.35" customHeight="1" x14ac:dyDescent="0.2">
      <c r="A80" s="90" t="str">
        <f t="shared" si="7"/>
        <v xml:space="preserve"> </v>
      </c>
      <c r="B80" s="106"/>
      <c r="C80" s="80"/>
      <c r="D80" s="54" t="str">
        <f t="shared" si="8"/>
        <v xml:space="preserve"> </v>
      </c>
      <c r="E80" s="80"/>
      <c r="F80" s="90"/>
      <c r="G80" s="80"/>
      <c r="H80" s="80"/>
      <c r="I80" s="103"/>
      <c r="K80" s="2"/>
      <c r="L80" s="2"/>
      <c r="M80" s="2"/>
    </row>
    <row r="81" spans="1:13" ht="13.35" customHeight="1" x14ac:dyDescent="0.2">
      <c r="A81" s="90"/>
      <c r="B81" s="106"/>
      <c r="C81" s="80"/>
      <c r="D81" s="80"/>
      <c r="E81" s="80"/>
      <c r="F81" s="132"/>
      <c r="G81" s="133"/>
      <c r="H81" s="50"/>
      <c r="I81" s="19"/>
      <c r="K81" s="2"/>
      <c r="L81" s="2"/>
      <c r="M81" s="2"/>
    </row>
    <row r="82" spans="1:13" ht="13.35" customHeight="1" x14ac:dyDescent="0.2">
      <c r="A82" s="90"/>
      <c r="E82" s="22"/>
      <c r="F82" s="134"/>
      <c r="G82" s="80"/>
      <c r="H82" s="80"/>
      <c r="I82" s="103"/>
      <c r="K82" s="2"/>
      <c r="L82" s="2"/>
      <c r="M82" s="2"/>
    </row>
    <row r="83" spans="1:13" ht="13.35" customHeight="1" x14ac:dyDescent="0.2">
      <c r="A83" s="135" t="s">
        <v>366</v>
      </c>
      <c r="B83" s="136"/>
      <c r="C83" s="136"/>
      <c r="D83" s="136"/>
      <c r="E83" s="136"/>
      <c r="F83" s="136"/>
      <c r="G83" s="136"/>
      <c r="H83" s="48" t="s">
        <v>367</v>
      </c>
      <c r="I83" s="49" t="s">
        <v>368</v>
      </c>
      <c r="K83" s="2"/>
      <c r="L83" s="2"/>
      <c r="M83" s="2"/>
    </row>
    <row r="84" spans="1:13" ht="13.35" customHeight="1" x14ac:dyDescent="0.2">
      <c r="A84" s="92"/>
      <c r="B84" s="137"/>
      <c r="C84" s="27"/>
      <c r="D84" s="27"/>
      <c r="E84" s="27"/>
      <c r="F84" s="27"/>
      <c r="G84" s="27"/>
      <c r="H84" s="138"/>
      <c r="I84" s="139"/>
      <c r="K84" s="2"/>
      <c r="L84" s="2"/>
      <c r="M84" s="2"/>
    </row>
    <row r="85" spans="1:13" ht="13.35" customHeight="1" x14ac:dyDescent="0.2">
      <c r="A85" s="90"/>
      <c r="B85" s="106"/>
      <c r="C85" s="80"/>
      <c r="D85" s="80"/>
      <c r="E85" s="80"/>
      <c r="F85" s="80"/>
      <c r="G85" s="80"/>
      <c r="H85" s="21"/>
      <c r="I85" s="131"/>
      <c r="K85" s="2"/>
      <c r="L85" s="2"/>
      <c r="M85" s="2"/>
    </row>
    <row r="86" spans="1:13" ht="13.35" customHeight="1" x14ac:dyDescent="0.2">
      <c r="A86" s="90"/>
      <c r="B86" s="106"/>
      <c r="C86" s="80"/>
      <c r="D86" s="80"/>
      <c r="E86" s="80"/>
      <c r="F86" s="80"/>
      <c r="G86" s="80"/>
      <c r="H86" s="21"/>
      <c r="I86" s="131"/>
      <c r="K86" s="2"/>
      <c r="L86" s="2"/>
      <c r="M86" s="2"/>
    </row>
    <row r="87" spans="1:13" ht="13.35" customHeight="1" x14ac:dyDescent="0.2">
      <c r="A87" s="90"/>
      <c r="B87" s="106"/>
      <c r="C87" s="80"/>
      <c r="D87" s="80"/>
      <c r="E87" s="80"/>
      <c r="F87" s="80"/>
      <c r="G87" s="80"/>
      <c r="H87" s="21"/>
      <c r="I87" s="131"/>
      <c r="K87" s="2"/>
      <c r="L87" s="2"/>
      <c r="M87" s="2"/>
    </row>
    <row r="88" spans="1:13" ht="13.35" customHeight="1" x14ac:dyDescent="0.2">
      <c r="A88" s="90"/>
      <c r="B88" s="106"/>
      <c r="C88" s="80"/>
      <c r="D88" s="80"/>
      <c r="E88" s="80"/>
      <c r="F88" s="80"/>
      <c r="G88" s="80"/>
      <c r="H88" s="21"/>
      <c r="I88" s="131"/>
      <c r="K88" s="2"/>
      <c r="L88" s="2"/>
      <c r="M88" s="2"/>
    </row>
    <row r="89" spans="1:13" ht="13.35" customHeight="1" x14ac:dyDescent="0.2">
      <c r="A89" s="90"/>
      <c r="B89" s="106"/>
      <c r="C89" s="80"/>
      <c r="D89" s="80"/>
      <c r="E89" s="80"/>
      <c r="F89" s="80"/>
      <c r="G89" s="80"/>
      <c r="H89" s="21"/>
      <c r="I89" s="131"/>
      <c r="K89" s="2"/>
      <c r="L89" s="2"/>
      <c r="M89" s="2"/>
    </row>
    <row r="90" spans="1:13" ht="13.35" customHeight="1" x14ac:dyDescent="0.2">
      <c r="A90" s="90"/>
      <c r="B90" s="106"/>
      <c r="C90" s="80"/>
      <c r="D90" s="80"/>
      <c r="E90" s="80"/>
      <c r="F90" s="80"/>
      <c r="G90" s="80"/>
      <c r="H90" s="21"/>
      <c r="I90" s="131"/>
    </row>
    <row r="91" spans="1:13" ht="13.35" customHeight="1" x14ac:dyDescent="0.2">
      <c r="A91" s="90"/>
      <c r="B91" s="106"/>
      <c r="C91" s="80"/>
      <c r="D91" s="80"/>
      <c r="E91" s="80"/>
      <c r="F91" s="80"/>
      <c r="G91" s="80"/>
      <c r="H91" s="21"/>
      <c r="I91" s="131"/>
    </row>
    <row r="92" spans="1:13" ht="13.35" customHeight="1" x14ac:dyDescent="0.2">
      <c r="A92" s="90"/>
      <c r="B92" s="106"/>
      <c r="C92" s="80"/>
      <c r="D92" s="80"/>
      <c r="E92" s="80"/>
      <c r="F92" s="80"/>
      <c r="G92" s="80"/>
      <c r="H92" s="21"/>
      <c r="I92" s="131"/>
    </row>
    <row r="93" spans="1:13" ht="13.35" customHeight="1" x14ac:dyDescent="0.2">
      <c r="A93" s="90"/>
      <c r="B93" s="106"/>
      <c r="C93" s="80"/>
      <c r="D93" s="80"/>
      <c r="E93" s="80"/>
      <c r="F93" s="80"/>
      <c r="G93" s="80"/>
      <c r="H93" s="21"/>
      <c r="I93" s="131"/>
    </row>
    <row r="94" spans="1:13" ht="13.35" customHeight="1" x14ac:dyDescent="0.2">
      <c r="A94" s="90"/>
      <c r="B94" s="106"/>
      <c r="C94" s="80"/>
      <c r="D94" s="80"/>
      <c r="E94" s="80"/>
      <c r="F94" s="80"/>
      <c r="G94" s="80"/>
      <c r="H94" s="21"/>
      <c r="I94" s="131"/>
    </row>
    <row r="95" spans="1:13" ht="13.35" customHeight="1" x14ac:dyDescent="0.2">
      <c r="A95" s="90"/>
      <c r="B95" s="106"/>
      <c r="C95" s="80"/>
      <c r="D95" s="80"/>
      <c r="E95" s="80"/>
      <c r="F95" s="80"/>
      <c r="G95" s="80"/>
      <c r="H95" s="21"/>
      <c r="I95" s="131"/>
    </row>
    <row r="96" spans="1:13" ht="13.35" customHeight="1" x14ac:dyDescent="0.2">
      <c r="A96" s="90"/>
      <c r="B96" s="106"/>
      <c r="C96" s="80"/>
      <c r="D96" s="80"/>
      <c r="E96" s="80"/>
      <c r="F96" s="80"/>
      <c r="G96" s="80"/>
      <c r="H96" s="21"/>
      <c r="I96" s="131"/>
    </row>
    <row r="97" spans="1:9" ht="13.35" customHeight="1" x14ac:dyDescent="0.2">
      <c r="A97" s="90"/>
      <c r="B97" s="106"/>
      <c r="C97" s="80"/>
      <c r="D97" s="80"/>
      <c r="E97" s="80"/>
      <c r="F97" s="80"/>
      <c r="G97" s="80"/>
      <c r="H97" s="21"/>
      <c r="I97" s="131"/>
    </row>
    <row r="98" spans="1:9" ht="13.35" customHeight="1" x14ac:dyDescent="0.2">
      <c r="A98" s="90"/>
      <c r="B98" s="106"/>
      <c r="C98" s="80"/>
      <c r="D98" s="80"/>
      <c r="E98" s="80"/>
      <c r="F98" s="80"/>
      <c r="G98" s="80"/>
      <c r="H98" s="21"/>
      <c r="I98" s="131"/>
    </row>
    <row r="99" spans="1:9" ht="13.35" customHeight="1" x14ac:dyDescent="0.2">
      <c r="A99" s="90"/>
      <c r="B99" s="106"/>
      <c r="C99" s="80"/>
      <c r="D99" s="80"/>
      <c r="E99" s="80"/>
      <c r="F99" s="80"/>
      <c r="G99" s="80"/>
      <c r="H99" s="21"/>
      <c r="I99" s="131"/>
    </row>
    <row r="100" spans="1:9" ht="13.35" customHeight="1" x14ac:dyDescent="0.2">
      <c r="A100" s="90"/>
      <c r="B100" s="106"/>
      <c r="C100" s="80"/>
      <c r="D100" s="80"/>
      <c r="E100" s="80"/>
      <c r="F100" s="80"/>
      <c r="G100" s="80"/>
      <c r="H100" s="21"/>
      <c r="I100" s="131"/>
    </row>
    <row r="101" spans="1:9" ht="13.35" customHeight="1" x14ac:dyDescent="0.2">
      <c r="A101" s="90"/>
      <c r="B101" s="106"/>
      <c r="C101" s="54"/>
      <c r="D101" s="80"/>
      <c r="E101" s="80"/>
      <c r="F101" s="80"/>
      <c r="G101" s="80"/>
      <c r="H101" s="21"/>
      <c r="I101" s="131"/>
    </row>
    <row r="102" spans="1:9" ht="13.35" customHeight="1" x14ac:dyDescent="0.2">
      <c r="A102" s="92"/>
      <c r="B102" s="137"/>
      <c r="C102" s="27"/>
      <c r="D102" s="27"/>
      <c r="E102" s="27"/>
      <c r="F102" s="80"/>
      <c r="G102" s="80"/>
      <c r="H102" s="21"/>
      <c r="I102" s="139"/>
    </row>
    <row r="103" spans="1:9" ht="13.35" customHeight="1" x14ac:dyDescent="0.2">
      <c r="A103" s="92"/>
      <c r="B103" s="137"/>
      <c r="C103" s="27"/>
      <c r="D103" s="27"/>
      <c r="E103" s="27"/>
      <c r="F103" s="80"/>
      <c r="G103" s="80"/>
      <c r="H103" s="21"/>
      <c r="I103" s="139"/>
    </row>
    <row r="104" spans="1:9" ht="13.35" customHeight="1" x14ac:dyDescent="0.2">
      <c r="A104" s="90"/>
      <c r="B104" s="106"/>
      <c r="C104" s="80"/>
      <c r="D104" s="80"/>
      <c r="E104" s="80"/>
      <c r="F104" s="80"/>
      <c r="G104" s="80"/>
      <c r="H104" s="21"/>
      <c r="I104" s="131"/>
    </row>
    <row r="105" spans="1:9" ht="13.35" customHeight="1" x14ac:dyDescent="0.2">
      <c r="A105" s="90"/>
      <c r="B105" s="106"/>
      <c r="C105" s="80"/>
      <c r="D105" s="80"/>
      <c r="E105" s="80"/>
      <c r="F105" s="80"/>
      <c r="G105" s="80"/>
      <c r="H105" s="21"/>
      <c r="I105" s="131"/>
    </row>
    <row r="106" spans="1:9" ht="13.35" customHeight="1" x14ac:dyDescent="0.2">
      <c r="A106" s="90"/>
      <c r="B106" s="106"/>
      <c r="C106" s="80"/>
      <c r="D106" s="80"/>
      <c r="E106" s="80"/>
      <c r="F106" s="80"/>
      <c r="G106" s="80"/>
      <c r="H106" s="21"/>
      <c r="I106" s="131"/>
    </row>
    <row r="107" spans="1:9" ht="13.35" customHeight="1" x14ac:dyDescent="0.2">
      <c r="A107" s="92"/>
      <c r="B107" s="137"/>
      <c r="C107" s="27"/>
      <c r="D107" s="27"/>
      <c r="E107" s="27"/>
      <c r="F107" s="80"/>
      <c r="G107" s="80"/>
      <c r="H107" s="21"/>
      <c r="I107" s="139"/>
    </row>
    <row r="108" spans="1:9" ht="13.35" customHeight="1" x14ac:dyDescent="0.2">
      <c r="A108" s="90"/>
      <c r="B108" s="106"/>
      <c r="C108" s="80"/>
      <c r="D108" s="80"/>
      <c r="E108" s="80"/>
      <c r="F108" s="80"/>
      <c r="G108" s="80"/>
      <c r="H108" s="21"/>
      <c r="I108" s="131"/>
    </row>
    <row r="109" spans="1:9" ht="13.35" customHeight="1" x14ac:dyDescent="0.2">
      <c r="A109" s="116" t="s">
        <v>369</v>
      </c>
      <c r="B109" s="126"/>
      <c r="C109" s="127"/>
      <c r="D109" s="127"/>
      <c r="E109" s="127"/>
      <c r="F109" s="127"/>
      <c r="G109" s="127"/>
      <c r="H109" s="14"/>
      <c r="I109" s="49"/>
    </row>
    <row r="110" spans="1:9" ht="13.35" customHeight="1" x14ac:dyDescent="0.2">
      <c r="A110" s="90" t="s">
        <v>370</v>
      </c>
      <c r="B110" s="106"/>
      <c r="C110" s="80"/>
      <c r="D110" s="80"/>
      <c r="E110" s="80"/>
      <c r="F110" s="80"/>
      <c r="G110" s="80"/>
      <c r="H110" s="38" t="s">
        <v>371</v>
      </c>
      <c r="I110" s="131" t="s">
        <v>372</v>
      </c>
    </row>
    <row r="111" spans="1:9" ht="13.35" customHeight="1" x14ac:dyDescent="0.2">
      <c r="A111" s="90"/>
      <c r="B111" s="106"/>
      <c r="C111" s="80"/>
      <c r="D111" s="80"/>
      <c r="E111" s="80"/>
      <c r="F111" s="80"/>
      <c r="G111" s="80"/>
      <c r="H111" s="38"/>
      <c r="I111" s="131"/>
    </row>
    <row r="112" spans="1:9" ht="13.35" customHeight="1" x14ac:dyDescent="0.2">
      <c r="A112" s="90"/>
      <c r="B112" s="106"/>
      <c r="C112" s="80"/>
      <c r="D112" s="80"/>
      <c r="E112" s="80"/>
      <c r="F112" s="80"/>
      <c r="G112" s="80"/>
      <c r="H112" s="38"/>
      <c r="I112" s="131"/>
    </row>
    <row r="113" spans="1:9" ht="13.35" customHeight="1" x14ac:dyDescent="0.2">
      <c r="A113" s="90"/>
      <c r="B113" s="106"/>
      <c r="C113" s="80"/>
      <c r="D113" s="80"/>
      <c r="E113" s="80"/>
      <c r="F113" s="80"/>
      <c r="G113" s="80"/>
      <c r="H113" s="38"/>
      <c r="I113" s="131"/>
    </row>
    <row r="114" spans="1:9" ht="13.35" customHeight="1" x14ac:dyDescent="0.2">
      <c r="A114" s="90"/>
      <c r="B114" s="106"/>
      <c r="C114" s="80"/>
      <c r="D114" s="80"/>
      <c r="E114" s="80"/>
      <c r="F114" s="80"/>
      <c r="G114" s="80"/>
      <c r="H114" s="38"/>
      <c r="I114" s="131"/>
    </row>
    <row r="115" spans="1:9" ht="13.35" customHeight="1" x14ac:dyDescent="0.2">
      <c r="A115" s="90"/>
      <c r="B115" s="106"/>
      <c r="C115" s="80"/>
      <c r="D115" s="80"/>
      <c r="E115" s="80"/>
      <c r="F115" s="80"/>
      <c r="G115" s="80"/>
      <c r="H115" s="38"/>
      <c r="I115" s="131"/>
    </row>
    <row r="116" spans="1:9" ht="13.35" customHeight="1" x14ac:dyDescent="0.2">
      <c r="A116" s="90"/>
      <c r="B116" s="106"/>
      <c r="C116" s="80"/>
      <c r="D116" s="80"/>
      <c r="E116" s="80"/>
      <c r="F116" s="80"/>
      <c r="G116" s="80"/>
      <c r="H116" s="38"/>
      <c r="I116" s="131"/>
    </row>
    <row r="117" spans="1:9" ht="13.35" customHeight="1" x14ac:dyDescent="0.2">
      <c r="A117" s="90"/>
      <c r="B117" s="106"/>
      <c r="C117" s="80"/>
      <c r="D117" s="80"/>
      <c r="E117" s="80"/>
      <c r="F117" s="80"/>
      <c r="G117" s="80"/>
      <c r="H117" s="38"/>
      <c r="I117" s="131"/>
    </row>
    <row r="118" spans="1:9" ht="13.35" customHeight="1" x14ac:dyDescent="0.2">
      <c r="A118" s="90"/>
      <c r="B118" s="106"/>
      <c r="C118" s="80"/>
      <c r="D118" s="80"/>
      <c r="E118" s="80"/>
      <c r="F118" s="80"/>
      <c r="G118" s="80"/>
      <c r="H118" s="38"/>
      <c r="I118" s="131"/>
    </row>
    <row r="119" spans="1:9" ht="13.35" customHeight="1" x14ac:dyDescent="0.2">
      <c r="A119" s="90"/>
      <c r="B119" s="106"/>
      <c r="C119" s="80"/>
      <c r="D119" s="80"/>
      <c r="E119" s="80"/>
      <c r="F119" s="80"/>
      <c r="G119" s="80"/>
      <c r="H119" s="38"/>
      <c r="I119" s="131"/>
    </row>
    <row r="120" spans="1:9" ht="13.35" customHeight="1" x14ac:dyDescent="0.2">
      <c r="A120" s="90"/>
      <c r="B120" s="106"/>
      <c r="C120" s="80"/>
      <c r="D120" s="80"/>
      <c r="E120" s="80"/>
      <c r="F120" s="80"/>
      <c r="G120" s="80"/>
      <c r="H120" s="38"/>
      <c r="I120" s="131"/>
    </row>
    <row r="121" spans="1:9" ht="13.35" customHeight="1" x14ac:dyDescent="0.2">
      <c r="A121" s="90"/>
      <c r="B121" s="106"/>
      <c r="C121" s="80"/>
      <c r="D121" s="80"/>
      <c r="E121" s="80"/>
      <c r="F121" s="80"/>
      <c r="G121" s="80"/>
      <c r="H121" s="38"/>
      <c r="I121" s="131"/>
    </row>
    <row r="122" spans="1:9" ht="13.35" customHeight="1" x14ac:dyDescent="0.2">
      <c r="A122" s="90"/>
      <c r="B122" s="106"/>
      <c r="C122" s="80"/>
      <c r="D122" s="80"/>
      <c r="E122" s="80"/>
      <c r="F122" s="80"/>
      <c r="G122" s="80"/>
      <c r="H122" s="38"/>
      <c r="I122" s="131"/>
    </row>
    <row r="123" spans="1:9" ht="13.35" customHeight="1" x14ac:dyDescent="0.2">
      <c r="A123" s="90"/>
      <c r="B123" s="106"/>
      <c r="C123" s="80"/>
      <c r="D123" s="80"/>
      <c r="E123" s="80"/>
      <c r="F123" s="80"/>
      <c r="G123" s="80"/>
      <c r="H123" s="38"/>
      <c r="I123" s="131"/>
    </row>
    <row r="124" spans="1:9" ht="13.35" customHeight="1" x14ac:dyDescent="0.2">
      <c r="A124" s="90"/>
      <c r="B124" s="106"/>
      <c r="C124" s="80"/>
      <c r="D124" s="80"/>
      <c r="E124" s="80"/>
      <c r="F124" s="80"/>
      <c r="G124" s="80"/>
      <c r="H124" s="38"/>
      <c r="I124" s="131"/>
    </row>
    <row r="125" spans="1:9" ht="13.35" customHeight="1" x14ac:dyDescent="0.2">
      <c r="A125" s="133"/>
      <c r="B125" s="133"/>
      <c r="C125" s="50"/>
      <c r="D125" s="50"/>
      <c r="E125" s="50"/>
      <c r="F125" s="50"/>
      <c r="G125" s="50"/>
      <c r="H125" s="50"/>
      <c r="I125" s="50"/>
    </row>
    <row r="126" spans="1:9" ht="13.35" customHeight="1" x14ac:dyDescent="0.2">
      <c r="A126" s="116" t="s">
        <v>373</v>
      </c>
      <c r="B126" s="140">
        <f>SUM(H127:H186)</f>
        <v>0</v>
      </c>
      <c r="C126" s="127" t="s">
        <v>374</v>
      </c>
      <c r="D126" s="127"/>
      <c r="E126" s="127" t="s">
        <v>255</v>
      </c>
      <c r="F126" s="127"/>
      <c r="G126" s="128">
        <f>L32</f>
        <v>0</v>
      </c>
      <c r="H126" s="48" t="s">
        <v>375</v>
      </c>
      <c r="I126" s="49" t="s">
        <v>376</v>
      </c>
    </row>
    <row r="127" spans="1:9" ht="13.35" customHeight="1" x14ac:dyDescent="0.2">
      <c r="A127" s="92"/>
      <c r="B127" s="137"/>
      <c r="C127" s="27"/>
      <c r="D127" s="27"/>
      <c r="E127" s="27"/>
      <c r="F127" s="27"/>
      <c r="G127" s="27"/>
      <c r="H127" s="59"/>
      <c r="I127" s="139"/>
    </row>
    <row r="128" spans="1:9" ht="13.35" customHeight="1" x14ac:dyDescent="0.2">
      <c r="A128" s="90"/>
      <c r="B128" s="106"/>
      <c r="C128" s="80"/>
      <c r="D128" s="80"/>
      <c r="E128" s="80"/>
      <c r="F128" s="80"/>
      <c r="G128" s="80"/>
      <c r="H128" s="21"/>
      <c r="I128" s="131"/>
    </row>
    <row r="129" spans="1:9" ht="13.35" customHeight="1" x14ac:dyDescent="0.2">
      <c r="A129" s="90"/>
      <c r="B129" s="106"/>
      <c r="C129" s="80"/>
      <c r="D129" s="80"/>
      <c r="E129" s="80"/>
      <c r="F129" s="80"/>
      <c r="G129" s="80"/>
      <c r="H129" s="21"/>
      <c r="I129" s="131"/>
    </row>
    <row r="130" spans="1:9" ht="13.35" customHeight="1" x14ac:dyDescent="0.2">
      <c r="A130" s="90"/>
      <c r="B130" s="106"/>
      <c r="C130" s="80"/>
      <c r="D130" s="80"/>
      <c r="E130" s="80"/>
      <c r="F130" s="80"/>
      <c r="G130" s="80"/>
      <c r="H130" s="21"/>
      <c r="I130" s="131"/>
    </row>
    <row r="131" spans="1:9" ht="13.35" customHeight="1" x14ac:dyDescent="0.2">
      <c r="A131" s="90"/>
      <c r="B131" s="106"/>
      <c r="C131" s="80"/>
      <c r="D131" s="80"/>
      <c r="E131" s="80"/>
      <c r="F131" s="80"/>
      <c r="G131" s="80"/>
      <c r="H131" s="21"/>
      <c r="I131" s="131"/>
    </row>
    <row r="132" spans="1:9" ht="13.35" customHeight="1" x14ac:dyDescent="0.2">
      <c r="A132" s="90"/>
      <c r="B132" s="106"/>
      <c r="C132" s="80"/>
      <c r="D132" s="80"/>
      <c r="E132" s="80"/>
      <c r="F132" s="80"/>
      <c r="G132" s="80"/>
      <c r="H132" s="21"/>
      <c r="I132" s="131"/>
    </row>
    <row r="133" spans="1:9" ht="13.35" customHeight="1" x14ac:dyDescent="0.2">
      <c r="A133" s="90"/>
      <c r="B133" s="106"/>
      <c r="C133" s="80"/>
      <c r="D133" s="80"/>
      <c r="E133" s="80"/>
      <c r="F133" s="80"/>
      <c r="G133" s="80"/>
      <c r="H133" s="21"/>
      <c r="I133" s="131"/>
    </row>
    <row r="134" spans="1:9" ht="13.35" customHeight="1" x14ac:dyDescent="0.2">
      <c r="A134" s="90"/>
      <c r="B134" s="106"/>
      <c r="C134" s="80"/>
      <c r="D134" s="80"/>
      <c r="E134" s="80"/>
      <c r="F134" s="80"/>
      <c r="G134" s="80"/>
      <c r="H134" s="21"/>
      <c r="I134" s="131"/>
    </row>
    <row r="135" spans="1:9" ht="13.35" customHeight="1" x14ac:dyDescent="0.2">
      <c r="A135" s="90"/>
      <c r="B135" s="106"/>
      <c r="C135" s="80"/>
      <c r="D135" s="80"/>
      <c r="E135" s="80"/>
      <c r="F135" s="80"/>
      <c r="G135" s="80"/>
      <c r="H135" s="21"/>
      <c r="I135" s="131"/>
    </row>
    <row r="136" spans="1:9" ht="13.35" customHeight="1" x14ac:dyDescent="0.2">
      <c r="A136" s="90"/>
      <c r="B136" s="106"/>
      <c r="C136" s="80"/>
      <c r="D136" s="80"/>
      <c r="E136" s="80"/>
      <c r="F136" s="80"/>
      <c r="G136" s="80"/>
      <c r="H136" s="21"/>
      <c r="I136" s="131"/>
    </row>
    <row r="137" spans="1:9" ht="13.35" customHeight="1" x14ac:dyDescent="0.2">
      <c r="A137" s="90"/>
      <c r="B137" s="106"/>
      <c r="C137" s="80"/>
      <c r="D137" s="80"/>
      <c r="E137" s="80"/>
      <c r="F137" s="80"/>
      <c r="G137" s="80"/>
      <c r="H137" s="21"/>
      <c r="I137" s="131"/>
    </row>
    <row r="138" spans="1:9" ht="13.35" customHeight="1" x14ac:dyDescent="0.2">
      <c r="A138" s="90"/>
      <c r="B138" s="106"/>
      <c r="C138" s="80"/>
      <c r="D138" s="80"/>
      <c r="E138" s="80"/>
      <c r="F138" s="80"/>
      <c r="G138" s="80"/>
      <c r="H138" s="21"/>
      <c r="I138" s="131"/>
    </row>
    <row r="139" spans="1:9" ht="13.35" customHeight="1" x14ac:dyDescent="0.2">
      <c r="A139" s="90"/>
      <c r="B139" s="106"/>
      <c r="C139" s="80"/>
      <c r="D139" s="80"/>
      <c r="E139" s="80"/>
      <c r="F139" s="80"/>
      <c r="G139" s="80"/>
      <c r="H139" s="21"/>
      <c r="I139" s="131"/>
    </row>
    <row r="140" spans="1:9" ht="13.35" customHeight="1" x14ac:dyDescent="0.2">
      <c r="A140" s="90"/>
      <c r="B140" s="106"/>
      <c r="C140" s="80"/>
      <c r="D140" s="80"/>
      <c r="E140" s="80"/>
      <c r="F140" s="80"/>
      <c r="G140" s="80"/>
      <c r="H140" s="21"/>
      <c r="I140" s="131"/>
    </row>
    <row r="141" spans="1:9" ht="13.35" customHeight="1" x14ac:dyDescent="0.2">
      <c r="A141" s="90"/>
      <c r="B141" s="106"/>
      <c r="C141" s="80"/>
      <c r="D141" s="80"/>
      <c r="E141" s="80"/>
      <c r="F141" s="80"/>
      <c r="G141" s="80"/>
      <c r="H141" s="21"/>
      <c r="I141" s="131"/>
    </row>
    <row r="142" spans="1:9" ht="13.35" customHeight="1" x14ac:dyDescent="0.2">
      <c r="A142" s="90"/>
      <c r="B142" s="106"/>
      <c r="C142" s="80"/>
      <c r="D142" s="80"/>
      <c r="E142" s="80"/>
      <c r="F142" s="80"/>
      <c r="G142" s="80"/>
      <c r="H142" s="21"/>
      <c r="I142" s="131"/>
    </row>
    <row r="143" spans="1:9" ht="13.35" customHeight="1" x14ac:dyDescent="0.2">
      <c r="A143" s="90"/>
      <c r="B143" s="106"/>
      <c r="C143" s="80"/>
      <c r="D143" s="80"/>
      <c r="E143" s="80"/>
      <c r="F143" s="80"/>
      <c r="G143" s="80"/>
      <c r="H143" s="21"/>
      <c r="I143" s="131"/>
    </row>
    <row r="144" spans="1:9" ht="13.35" customHeight="1" x14ac:dyDescent="0.2">
      <c r="A144" s="90"/>
      <c r="B144" s="106"/>
      <c r="C144" s="80"/>
      <c r="D144" s="80"/>
      <c r="E144" s="80"/>
      <c r="F144" s="80"/>
      <c r="G144" s="80"/>
      <c r="H144" s="21"/>
      <c r="I144" s="131"/>
    </row>
    <row r="145" spans="1:9" ht="13.35" customHeight="1" x14ac:dyDescent="0.2">
      <c r="A145" s="90"/>
      <c r="B145" s="106"/>
      <c r="C145" s="80"/>
      <c r="D145" s="80"/>
      <c r="E145" s="80"/>
      <c r="F145" s="80"/>
      <c r="G145" s="80"/>
      <c r="H145" s="21"/>
      <c r="I145" s="131"/>
    </row>
    <row r="146" spans="1:9" ht="13.35" customHeight="1" x14ac:dyDescent="0.2">
      <c r="A146" s="90"/>
      <c r="B146" s="106"/>
      <c r="C146" s="80"/>
      <c r="D146" s="80"/>
      <c r="E146" s="80"/>
      <c r="F146" s="80"/>
      <c r="G146" s="80"/>
      <c r="H146" s="21"/>
      <c r="I146" s="131"/>
    </row>
    <row r="147" spans="1:9" ht="13.35" customHeight="1" x14ac:dyDescent="0.2">
      <c r="A147" s="90"/>
      <c r="B147" s="106"/>
      <c r="C147" s="80"/>
      <c r="D147" s="80"/>
      <c r="E147" s="80"/>
      <c r="F147" s="80"/>
      <c r="G147" s="80"/>
      <c r="H147" s="21"/>
      <c r="I147" s="131"/>
    </row>
    <row r="148" spans="1:9" ht="13.35" customHeight="1" x14ac:dyDescent="0.2">
      <c r="A148" s="90"/>
      <c r="B148" s="106"/>
      <c r="C148" s="80"/>
      <c r="D148" s="80"/>
      <c r="E148" s="80"/>
      <c r="F148" s="80"/>
      <c r="G148" s="80"/>
      <c r="H148" s="21"/>
      <c r="I148" s="131"/>
    </row>
    <row r="149" spans="1:9" ht="13.35" customHeight="1" x14ac:dyDescent="0.2">
      <c r="A149" s="90"/>
      <c r="B149" s="106"/>
      <c r="C149" s="80"/>
      <c r="D149" s="80"/>
      <c r="E149" s="80"/>
      <c r="F149" s="80"/>
      <c r="G149" s="80"/>
      <c r="H149" s="21"/>
      <c r="I149" s="131"/>
    </row>
    <row r="150" spans="1:9" ht="13.35" customHeight="1" x14ac:dyDescent="0.2">
      <c r="A150" s="90"/>
      <c r="B150" s="106"/>
      <c r="C150" s="80"/>
      <c r="D150" s="80"/>
      <c r="E150" s="80"/>
      <c r="F150" s="80"/>
      <c r="G150" s="80"/>
      <c r="H150" s="21"/>
      <c r="I150" s="131"/>
    </row>
    <row r="151" spans="1:9" ht="13.35" customHeight="1" x14ac:dyDescent="0.2">
      <c r="A151" s="90"/>
      <c r="B151" s="106"/>
      <c r="C151" s="80"/>
      <c r="D151" s="80"/>
      <c r="E151" s="80"/>
      <c r="F151" s="80"/>
      <c r="G151" s="80"/>
      <c r="H151" s="21"/>
      <c r="I151" s="131"/>
    </row>
    <row r="152" spans="1:9" ht="13.35" customHeight="1" x14ac:dyDescent="0.2">
      <c r="A152" s="90"/>
      <c r="B152" s="106"/>
      <c r="C152" s="80"/>
      <c r="D152" s="80"/>
      <c r="E152" s="80"/>
      <c r="F152" s="80"/>
      <c r="G152" s="80"/>
      <c r="H152" s="21"/>
      <c r="I152" s="131"/>
    </row>
    <row r="153" spans="1:9" ht="13.35" customHeight="1" x14ac:dyDescent="0.2">
      <c r="A153" s="90"/>
      <c r="B153" s="106"/>
      <c r="C153" s="80"/>
      <c r="D153" s="80"/>
      <c r="E153" s="80"/>
      <c r="F153" s="80"/>
      <c r="G153" s="80"/>
      <c r="H153" s="21"/>
      <c r="I153" s="131"/>
    </row>
    <row r="154" spans="1:9" ht="13.35" customHeight="1" x14ac:dyDescent="0.2">
      <c r="A154" s="90"/>
      <c r="B154" s="106"/>
      <c r="C154" s="80"/>
      <c r="D154" s="80"/>
      <c r="E154" s="80"/>
      <c r="F154" s="80"/>
      <c r="G154" s="80"/>
      <c r="H154" s="21"/>
      <c r="I154" s="131"/>
    </row>
    <row r="155" spans="1:9" ht="13.35" customHeight="1" x14ac:dyDescent="0.2">
      <c r="A155" s="90"/>
      <c r="B155" s="106"/>
      <c r="C155" s="80"/>
      <c r="D155" s="80"/>
      <c r="E155" s="80"/>
      <c r="F155" s="80"/>
      <c r="G155" s="80"/>
      <c r="H155" s="21"/>
      <c r="I155" s="131"/>
    </row>
    <row r="156" spans="1:9" ht="13.35" customHeight="1" x14ac:dyDescent="0.2">
      <c r="A156" s="90"/>
      <c r="B156" s="106"/>
      <c r="C156" s="80"/>
      <c r="D156" s="80"/>
      <c r="E156" s="80"/>
      <c r="F156" s="80"/>
      <c r="G156" s="80"/>
      <c r="H156" s="21"/>
      <c r="I156" s="131"/>
    </row>
    <row r="157" spans="1:9" ht="13.35" customHeight="1" x14ac:dyDescent="0.2">
      <c r="A157" s="90"/>
      <c r="B157" s="106"/>
      <c r="C157" s="80"/>
      <c r="D157" s="80"/>
      <c r="E157" s="80"/>
      <c r="F157" s="80"/>
      <c r="G157" s="80"/>
      <c r="H157" s="21"/>
      <c r="I157" s="131"/>
    </row>
    <row r="158" spans="1:9" ht="13.35" customHeight="1" x14ac:dyDescent="0.2">
      <c r="A158" s="90"/>
      <c r="B158" s="106"/>
      <c r="C158" s="80"/>
      <c r="D158" s="80"/>
      <c r="E158" s="80"/>
      <c r="F158" s="80"/>
      <c r="G158" s="80"/>
      <c r="H158" s="21"/>
      <c r="I158" s="131"/>
    </row>
    <row r="159" spans="1:9" ht="13.35" customHeight="1" x14ac:dyDescent="0.2">
      <c r="A159" s="90"/>
      <c r="B159" s="106"/>
      <c r="C159" s="80"/>
      <c r="D159" s="80"/>
      <c r="E159" s="80"/>
      <c r="F159" s="80"/>
      <c r="G159" s="80"/>
      <c r="H159" s="21"/>
      <c r="I159" s="131"/>
    </row>
    <row r="160" spans="1:9" ht="13.35" customHeight="1" x14ac:dyDescent="0.2">
      <c r="A160" s="90"/>
      <c r="B160" s="106"/>
      <c r="C160" s="80"/>
      <c r="D160" s="80"/>
      <c r="E160" s="80"/>
      <c r="F160" s="80"/>
      <c r="G160" s="80"/>
      <c r="H160" s="21"/>
      <c r="I160" s="131"/>
    </row>
    <row r="161" spans="1:9" ht="13.35" customHeight="1" x14ac:dyDescent="0.2">
      <c r="A161" s="90"/>
      <c r="B161" s="106"/>
      <c r="C161" s="80"/>
      <c r="D161" s="80"/>
      <c r="E161" s="80"/>
      <c r="F161" s="80"/>
      <c r="G161" s="80"/>
      <c r="H161" s="21"/>
      <c r="I161" s="131"/>
    </row>
    <row r="162" spans="1:9" ht="13.35" customHeight="1" x14ac:dyDescent="0.2">
      <c r="A162" s="90"/>
      <c r="B162" s="106"/>
      <c r="C162" s="80"/>
      <c r="D162" s="80"/>
      <c r="E162" s="80"/>
      <c r="F162" s="80"/>
      <c r="G162" s="80"/>
      <c r="H162" s="21"/>
      <c r="I162" s="131"/>
    </row>
    <row r="163" spans="1:9" ht="13.35" customHeight="1" x14ac:dyDescent="0.2">
      <c r="A163" s="90"/>
      <c r="B163" s="106"/>
      <c r="C163" s="80"/>
      <c r="D163" s="80"/>
      <c r="E163" s="80"/>
      <c r="F163" s="80"/>
      <c r="G163" s="80"/>
      <c r="H163" s="21"/>
      <c r="I163" s="131"/>
    </row>
    <row r="164" spans="1:9" ht="13.35" customHeight="1" x14ac:dyDescent="0.2">
      <c r="A164" s="90"/>
      <c r="B164" s="106"/>
      <c r="C164" s="80"/>
      <c r="D164" s="80"/>
      <c r="E164" s="80"/>
      <c r="F164" s="80"/>
      <c r="G164" s="80"/>
      <c r="H164" s="21"/>
      <c r="I164" s="131"/>
    </row>
    <row r="165" spans="1:9" ht="13.35" customHeight="1" x14ac:dyDescent="0.2">
      <c r="A165" s="90"/>
      <c r="B165" s="106"/>
      <c r="C165" s="80"/>
      <c r="D165" s="80"/>
      <c r="E165" s="80"/>
      <c r="F165" s="80"/>
      <c r="G165" s="80"/>
      <c r="H165" s="21"/>
      <c r="I165" s="131"/>
    </row>
    <row r="166" spans="1:9" ht="13.35" customHeight="1" x14ac:dyDescent="0.2">
      <c r="A166" s="90"/>
      <c r="B166" s="106"/>
      <c r="C166" s="80"/>
      <c r="D166" s="80"/>
      <c r="E166" s="80"/>
      <c r="F166" s="80"/>
      <c r="G166" s="80"/>
      <c r="H166" s="21"/>
      <c r="I166" s="131"/>
    </row>
    <row r="167" spans="1:9" ht="13.35" customHeight="1" x14ac:dyDescent="0.2">
      <c r="A167" s="90"/>
      <c r="B167" s="106"/>
      <c r="C167" s="80"/>
      <c r="D167" s="80"/>
      <c r="E167" s="80"/>
      <c r="F167" s="80"/>
      <c r="G167" s="80"/>
      <c r="H167" s="21"/>
      <c r="I167" s="131"/>
    </row>
    <row r="168" spans="1:9" ht="13.35" customHeight="1" x14ac:dyDescent="0.2">
      <c r="A168" s="90"/>
      <c r="B168" s="106"/>
      <c r="C168" s="80"/>
      <c r="D168" s="80"/>
      <c r="E168" s="80"/>
      <c r="F168" s="80"/>
      <c r="G168" s="80"/>
      <c r="H168" s="21"/>
      <c r="I168" s="131"/>
    </row>
    <row r="169" spans="1:9" ht="13.35" customHeight="1" x14ac:dyDescent="0.2">
      <c r="A169" s="90"/>
      <c r="B169" s="106"/>
      <c r="C169" s="80"/>
      <c r="D169" s="80"/>
      <c r="E169" s="80"/>
      <c r="F169" s="80"/>
      <c r="G169" s="80"/>
      <c r="H169" s="21"/>
      <c r="I169" s="131"/>
    </row>
    <row r="170" spans="1:9" ht="13.35" customHeight="1" x14ac:dyDescent="0.2">
      <c r="A170" s="90"/>
      <c r="B170" s="106"/>
      <c r="C170" s="80"/>
      <c r="D170" s="80"/>
      <c r="E170" s="80"/>
      <c r="F170" s="80"/>
      <c r="G170" s="80"/>
      <c r="H170" s="21"/>
      <c r="I170" s="131"/>
    </row>
    <row r="171" spans="1:9" ht="13.35" customHeight="1" x14ac:dyDescent="0.2">
      <c r="A171" s="90"/>
      <c r="B171" s="106"/>
      <c r="C171" s="80"/>
      <c r="D171" s="80"/>
      <c r="E171" s="80"/>
      <c r="F171" s="80"/>
      <c r="G171" s="80"/>
      <c r="H171" s="21"/>
      <c r="I171" s="131"/>
    </row>
    <row r="172" spans="1:9" ht="13.35" customHeight="1" x14ac:dyDescent="0.2">
      <c r="A172" s="90"/>
      <c r="B172" s="106"/>
      <c r="C172" s="80"/>
      <c r="D172" s="80"/>
      <c r="E172" s="80"/>
      <c r="F172" s="80"/>
      <c r="G172" s="80"/>
      <c r="H172" s="21"/>
      <c r="I172" s="131"/>
    </row>
    <row r="173" spans="1:9" ht="13.35" customHeight="1" x14ac:dyDescent="0.2">
      <c r="A173" s="90"/>
      <c r="B173" s="106"/>
      <c r="C173" s="80"/>
      <c r="D173" s="80"/>
      <c r="E173" s="80"/>
      <c r="F173" s="80"/>
      <c r="G173" s="80"/>
      <c r="H173" s="21"/>
      <c r="I173" s="131"/>
    </row>
    <row r="174" spans="1:9" ht="13.35" customHeight="1" x14ac:dyDescent="0.2">
      <c r="A174" s="90"/>
      <c r="B174" s="106"/>
      <c r="C174" s="80"/>
      <c r="D174" s="80"/>
      <c r="E174" s="80"/>
      <c r="F174" s="80"/>
      <c r="G174" s="80"/>
      <c r="H174" s="21"/>
      <c r="I174" s="131"/>
    </row>
    <row r="175" spans="1:9" ht="13.35" customHeight="1" x14ac:dyDescent="0.2">
      <c r="A175" s="90"/>
      <c r="B175" s="106"/>
      <c r="C175" s="80"/>
      <c r="D175" s="80"/>
      <c r="E175" s="80"/>
      <c r="F175" s="80"/>
      <c r="G175" s="80"/>
      <c r="H175" s="21"/>
      <c r="I175" s="131"/>
    </row>
    <row r="176" spans="1:9" ht="13.35" customHeight="1" x14ac:dyDescent="0.2">
      <c r="A176" s="90"/>
      <c r="B176" s="106"/>
      <c r="C176" s="80"/>
      <c r="D176" s="80"/>
      <c r="E176" s="80"/>
      <c r="F176" s="80"/>
      <c r="G176" s="80"/>
      <c r="H176" s="21"/>
      <c r="I176" s="131"/>
    </row>
    <row r="177" spans="1:9" ht="13.35" customHeight="1" x14ac:dyDescent="0.2">
      <c r="A177" s="90"/>
      <c r="B177" s="106"/>
      <c r="C177" s="80"/>
      <c r="D177" s="80"/>
      <c r="E177" s="80"/>
      <c r="F177" s="80"/>
      <c r="G177" s="80"/>
      <c r="H177" s="21"/>
      <c r="I177" s="131"/>
    </row>
    <row r="178" spans="1:9" ht="13.35" customHeight="1" x14ac:dyDescent="0.2">
      <c r="A178" s="90"/>
      <c r="B178" s="106"/>
      <c r="C178" s="80"/>
      <c r="D178" s="80"/>
      <c r="E178" s="80"/>
      <c r="F178" s="80"/>
      <c r="G178" s="80"/>
      <c r="H178" s="21"/>
      <c r="I178" s="131"/>
    </row>
    <row r="179" spans="1:9" ht="13.35" customHeight="1" x14ac:dyDescent="0.2">
      <c r="A179" s="90"/>
      <c r="B179" s="106"/>
      <c r="C179" s="80"/>
      <c r="D179" s="80"/>
      <c r="E179" s="80"/>
      <c r="F179" s="80"/>
      <c r="G179" s="80"/>
      <c r="H179" s="21"/>
      <c r="I179" s="131"/>
    </row>
    <row r="180" spans="1:9" ht="13.35" customHeight="1" x14ac:dyDescent="0.2">
      <c r="A180" s="90"/>
      <c r="B180" s="106"/>
      <c r="C180" s="80"/>
      <c r="D180" s="80"/>
      <c r="E180" s="80"/>
      <c r="F180" s="80"/>
      <c r="G180" s="80"/>
      <c r="H180" s="21"/>
      <c r="I180" s="131"/>
    </row>
    <row r="181" spans="1:9" ht="13.35" customHeight="1" x14ac:dyDescent="0.2">
      <c r="A181" s="90"/>
      <c r="B181" s="106"/>
      <c r="C181" s="80"/>
      <c r="D181" s="80"/>
      <c r="E181" s="80"/>
      <c r="F181" s="80"/>
      <c r="G181" s="80"/>
      <c r="H181" s="21"/>
      <c r="I181" s="131"/>
    </row>
    <row r="182" spans="1:9" ht="13.35" customHeight="1" x14ac:dyDescent="0.2">
      <c r="A182" s="90"/>
      <c r="B182" s="106"/>
      <c r="C182" s="80"/>
      <c r="D182" s="80"/>
      <c r="E182" s="80"/>
      <c r="F182" s="80"/>
      <c r="G182" s="80"/>
      <c r="H182" s="21"/>
      <c r="I182" s="131"/>
    </row>
    <row r="183" spans="1:9" ht="13.35" customHeight="1" x14ac:dyDescent="0.2">
      <c r="A183" s="90"/>
      <c r="B183" s="106"/>
      <c r="C183" s="80"/>
      <c r="D183" s="80"/>
      <c r="E183" s="80"/>
      <c r="F183" s="80"/>
      <c r="G183" s="80"/>
      <c r="H183" s="21"/>
      <c r="I183" s="131"/>
    </row>
    <row r="184" spans="1:9" ht="13.35" customHeight="1" x14ac:dyDescent="0.2">
      <c r="A184" s="90"/>
      <c r="B184" s="106"/>
      <c r="C184" s="80"/>
      <c r="D184" s="80"/>
      <c r="E184" s="80"/>
      <c r="F184" s="80"/>
      <c r="G184" s="80"/>
      <c r="H184" s="21"/>
      <c r="I184" s="131"/>
    </row>
    <row r="185" spans="1:9" ht="13.35" customHeight="1" x14ac:dyDescent="0.2">
      <c r="A185" s="90"/>
      <c r="B185" s="106"/>
      <c r="C185" s="80"/>
      <c r="D185" s="80"/>
      <c r="E185" s="80"/>
      <c r="F185" s="80"/>
      <c r="G185" s="80"/>
      <c r="H185" s="21"/>
      <c r="I185" s="131"/>
    </row>
    <row r="186" spans="1:9" ht="13.35" customHeight="1" x14ac:dyDescent="0.2">
      <c r="A186" s="90"/>
      <c r="B186" s="106"/>
      <c r="C186" s="80"/>
      <c r="D186" s="80"/>
      <c r="E186" s="80"/>
      <c r="F186" s="80"/>
      <c r="G186" s="80"/>
      <c r="H186" s="21"/>
      <c r="I186" s="131"/>
    </row>
    <row r="187" spans="1:9" ht="13.35" customHeight="1" x14ac:dyDescent="0.2">
      <c r="A187" s="12"/>
    </row>
    <row r="188" spans="1:9" ht="13.35" customHeight="1" x14ac:dyDescent="0.2">
      <c r="A188" s="12"/>
    </row>
    <row r="189" spans="1:9" ht="13.35" customHeight="1" x14ac:dyDescent="0.2">
      <c r="A189" s="12"/>
    </row>
    <row r="190" spans="1:9" ht="13.35" customHeight="1" x14ac:dyDescent="0.2">
      <c r="A190" s="12"/>
    </row>
    <row r="191" spans="1:9" ht="13.35" customHeight="1" x14ac:dyDescent="0.2">
      <c r="A191" s="12"/>
    </row>
    <row r="192" spans="1:9" ht="13.35" customHeight="1" x14ac:dyDescent="0.2">
      <c r="A192" s="12"/>
    </row>
    <row r="193" spans="1:1" ht="13.35" customHeight="1" x14ac:dyDescent="0.2">
      <c r="A193" s="12"/>
    </row>
    <row r="194" spans="1:1" ht="13.35" customHeight="1" x14ac:dyDescent="0.2">
      <c r="A194" s="12"/>
    </row>
    <row r="195" spans="1:1" ht="13.35" customHeight="1" x14ac:dyDescent="0.2">
      <c r="A195" s="12"/>
    </row>
    <row r="196" spans="1:1" ht="13.35" customHeight="1" x14ac:dyDescent="0.2">
      <c r="A196" s="12"/>
    </row>
    <row r="197" spans="1:1" ht="13.35" customHeight="1" x14ac:dyDescent="0.2">
      <c r="A197" s="12"/>
    </row>
    <row r="198" spans="1:1" ht="13.35" customHeight="1" x14ac:dyDescent="0.2">
      <c r="A198" s="12"/>
    </row>
    <row r="199" spans="1:1" ht="13.35" customHeight="1" x14ac:dyDescent="0.2">
      <c r="A199" s="12"/>
    </row>
    <row r="200" spans="1:1" ht="13.35" customHeight="1" x14ac:dyDescent="0.2">
      <c r="A200" s="12"/>
    </row>
    <row r="201" spans="1:1" ht="13.35" customHeight="1" x14ac:dyDescent="0.2">
      <c r="A201" s="12"/>
    </row>
    <row r="202" spans="1:1" ht="13.35" customHeight="1" x14ac:dyDescent="0.2">
      <c r="A202" s="12"/>
    </row>
    <row r="203" spans="1:1" ht="13.35" customHeight="1" x14ac:dyDescent="0.2">
      <c r="A203" s="12"/>
    </row>
    <row r="204" spans="1:1" ht="13.35" customHeight="1" x14ac:dyDescent="0.2">
      <c r="A204" s="12"/>
    </row>
    <row r="205" spans="1:1" ht="13.35" customHeight="1" x14ac:dyDescent="0.2">
      <c r="A205" s="12"/>
    </row>
    <row r="206" spans="1:1" ht="13.35" customHeight="1" x14ac:dyDescent="0.2">
      <c r="A206" s="12"/>
    </row>
    <row r="207" spans="1:1" ht="13.35" customHeight="1" x14ac:dyDescent="0.2">
      <c r="A207" s="12"/>
    </row>
    <row r="208" spans="1:1" ht="13.35" customHeight="1" x14ac:dyDescent="0.2">
      <c r="A208" s="12"/>
    </row>
    <row r="209" spans="1:1" ht="13.35" customHeight="1" x14ac:dyDescent="0.2">
      <c r="A209" s="12"/>
    </row>
    <row r="210" spans="1:1" ht="13.35" customHeight="1" x14ac:dyDescent="0.2">
      <c r="A210" s="12"/>
    </row>
    <row r="211" spans="1:1" ht="13.35" customHeight="1" x14ac:dyDescent="0.2">
      <c r="A211" s="12"/>
    </row>
    <row r="212" spans="1:1" ht="13.35" customHeight="1" x14ac:dyDescent="0.2">
      <c r="A212" s="12"/>
    </row>
    <row r="213" spans="1:1" ht="13.35" customHeight="1" x14ac:dyDescent="0.2">
      <c r="A213" s="12"/>
    </row>
    <row r="214" spans="1:1" ht="13.35" customHeight="1" x14ac:dyDescent="0.2">
      <c r="A214" s="12"/>
    </row>
    <row r="215" spans="1:1" ht="13.35" customHeight="1" x14ac:dyDescent="0.2">
      <c r="A215" s="12"/>
    </row>
    <row r="216" spans="1:1" ht="13.35" customHeight="1" x14ac:dyDescent="0.2">
      <c r="A216" s="12"/>
    </row>
    <row r="217" spans="1:1" ht="13.35" customHeight="1" x14ac:dyDescent="0.2">
      <c r="A217" s="12"/>
    </row>
    <row r="218" spans="1:1" ht="13.35" customHeight="1" x14ac:dyDescent="0.2">
      <c r="A218" s="12"/>
    </row>
    <row r="219" spans="1:1" ht="13.35" customHeight="1" x14ac:dyDescent="0.2">
      <c r="A219" s="12"/>
    </row>
    <row r="220" spans="1:1" ht="13.35" customHeight="1" x14ac:dyDescent="0.2">
      <c r="A220" s="12"/>
    </row>
    <row r="221" spans="1:1" ht="13.35" customHeight="1" x14ac:dyDescent="0.2">
      <c r="A221" s="12"/>
    </row>
    <row r="222" spans="1:1" ht="13.35" customHeight="1" x14ac:dyDescent="0.2">
      <c r="A222" s="12"/>
    </row>
    <row r="223" spans="1:1" ht="13.35" customHeight="1" x14ac:dyDescent="0.2">
      <c r="A223" s="12"/>
    </row>
    <row r="224" spans="1:1" ht="13.35" customHeight="1" x14ac:dyDescent="0.2">
      <c r="A224" s="12"/>
    </row>
    <row r="225" spans="1:1" ht="13.35" customHeight="1" x14ac:dyDescent="0.2">
      <c r="A225" s="12"/>
    </row>
    <row r="226" spans="1:1" ht="13.35" customHeight="1" x14ac:dyDescent="0.2">
      <c r="A226" s="12"/>
    </row>
    <row r="227" spans="1:1" ht="13.35" customHeight="1" x14ac:dyDescent="0.2">
      <c r="A227" s="12"/>
    </row>
    <row r="228" spans="1:1" ht="13.35" customHeight="1" x14ac:dyDescent="0.2">
      <c r="A228" s="12"/>
    </row>
    <row r="229" spans="1:1" ht="13.35" customHeight="1" x14ac:dyDescent="0.2">
      <c r="A229" s="12"/>
    </row>
    <row r="230" spans="1:1" ht="13.35" customHeight="1" x14ac:dyDescent="0.2">
      <c r="A230" s="12"/>
    </row>
    <row r="231" spans="1:1" ht="13.35" customHeight="1" x14ac:dyDescent="0.2">
      <c r="A231" s="12"/>
    </row>
    <row r="232" spans="1:1" ht="13.35" customHeight="1" x14ac:dyDescent="0.2">
      <c r="A232" s="12"/>
    </row>
    <row r="233" spans="1:1" ht="13.35" customHeight="1" x14ac:dyDescent="0.2">
      <c r="A233" s="12"/>
    </row>
    <row r="234" spans="1:1" ht="13.35" customHeight="1" x14ac:dyDescent="0.2">
      <c r="A234" s="12"/>
    </row>
    <row r="235" spans="1:1" ht="13.35" customHeight="1" x14ac:dyDescent="0.2">
      <c r="A235" s="12"/>
    </row>
    <row r="236" spans="1:1" ht="13.35" customHeight="1" x14ac:dyDescent="0.2">
      <c r="A236" s="12"/>
    </row>
    <row r="237" spans="1:1" ht="13.35" customHeight="1" x14ac:dyDescent="0.2">
      <c r="A237" s="12"/>
    </row>
    <row r="238" spans="1:1" ht="13.35" customHeight="1" x14ac:dyDescent="0.2">
      <c r="A238" s="12"/>
    </row>
    <row r="239" spans="1:1" ht="13.35" customHeight="1" x14ac:dyDescent="0.2">
      <c r="A239" s="12"/>
    </row>
    <row r="240" spans="1:1" ht="13.35" customHeight="1" x14ac:dyDescent="0.2">
      <c r="A240" s="12"/>
    </row>
    <row r="241" spans="1:1" ht="13.35" customHeight="1" x14ac:dyDescent="0.2">
      <c r="A241" s="12"/>
    </row>
    <row r="242" spans="1:1" ht="13.35" customHeight="1" x14ac:dyDescent="0.2">
      <c r="A242" s="12"/>
    </row>
    <row r="243" spans="1:1" ht="13.35" customHeight="1" x14ac:dyDescent="0.2">
      <c r="A243" s="12"/>
    </row>
    <row r="244" spans="1:1" ht="13.35" customHeight="1" x14ac:dyDescent="0.2">
      <c r="A244" s="12"/>
    </row>
    <row r="245" spans="1:1" ht="13.35" customHeight="1" x14ac:dyDescent="0.2">
      <c r="A245" s="12"/>
    </row>
    <row r="246" spans="1:1" ht="13.35" customHeight="1" x14ac:dyDescent="0.2">
      <c r="A246" s="12"/>
    </row>
    <row r="247" spans="1:1" ht="13.35" customHeight="1" x14ac:dyDescent="0.2">
      <c r="A247" s="12"/>
    </row>
    <row r="248" spans="1:1" ht="13.35" customHeight="1" x14ac:dyDescent="0.2">
      <c r="A248" s="12"/>
    </row>
    <row r="249" spans="1:1" ht="13.35" customHeight="1" x14ac:dyDescent="0.2">
      <c r="A249" s="12"/>
    </row>
    <row r="250" spans="1:1" ht="13.35" customHeight="1" x14ac:dyDescent="0.2">
      <c r="A250" s="12"/>
    </row>
    <row r="251" spans="1:1" ht="13.35" customHeight="1" x14ac:dyDescent="0.2">
      <c r="A251" s="12"/>
    </row>
  </sheetData>
  <sheetProtection selectLockedCells="1" selectUnlockedCells="1"/>
  <dataConsolidate/>
  <mergeCells count="4">
    <mergeCell ref="B1:C1"/>
    <mergeCell ref="B2:C2"/>
    <mergeCell ref="B10:C10"/>
    <mergeCell ref="D10:I10"/>
  </mergeCells>
  <dataValidations count="8">
    <dataValidation type="list" allowBlank="1" showInputMessage="1" showErrorMessage="1" sqref="M2">
      <formula1>Races</formula1>
      <formula2>0</formula2>
    </dataValidation>
    <dataValidation type="list" allowBlank="1" showInputMessage="1" showErrorMessage="1" sqref="M3:M4">
      <formula1>Professions</formula1>
    </dataValidation>
    <dataValidation type="list" allowBlank="1" showInputMessage="1" showErrorMessage="1" sqref="E7">
      <formula1>Eyes</formula1>
    </dataValidation>
    <dataValidation type="list" allowBlank="1" showInputMessage="1" showErrorMessage="1" sqref="E8">
      <formula1>Hair</formula1>
    </dataValidation>
    <dataValidation type="list" allowBlank="1" showInputMessage="1" showErrorMessage="1" sqref="E9">
      <formula1>Skin</formula1>
    </dataValidation>
    <dataValidation type="list" allowBlank="1" showInputMessage="1" showErrorMessage="1" sqref="B10">
      <formula1>Alignment</formula1>
    </dataValidation>
    <dataValidation type="list" allowBlank="1" showInputMessage="1" showErrorMessage="1" sqref="K58:K61">
      <formula1>Flaws</formula1>
    </dataValidation>
    <dataValidation type="list" allowBlank="1" showInputMessage="1" showErrorMessage="1" sqref="K65:K72">
      <formula1>Talents</formula1>
    </dataValidation>
  </dataValidations>
  <hyperlinks>
    <hyperlink ref="N4" r:id="rId1"/>
  </hyperlinks>
  <printOptions horizontalCentered="1"/>
  <pageMargins left="0.39374999999999999" right="0.39374999999999999" top="0.39374999999999999" bottom="0.39374999999999999" header="0.51180555555555551" footer="0.51180555555555551"/>
  <pageSetup paperSize="9" scale="90" orientation="portrait" useFirstPageNumber="1" horizontalDpi="300" verticalDpi="300" r:id="rId2"/>
  <headerFooter alignWithMargins="0"/>
  <rowBreaks count="2" manualBreakCount="2">
    <brk id="63" max="16383" man="1"/>
    <brk id="125"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0"/>
  <sheetViews>
    <sheetView view="pageBreakPreview" topLeftCell="A232" zoomScaleNormal="100" zoomScaleSheetLayoutView="100" workbookViewId="0">
      <selection activeCell="Q194" sqref="Q194"/>
    </sheetView>
  </sheetViews>
  <sheetFormatPr defaultColWidth="11.5703125" defaultRowHeight="12.75" customHeight="1" x14ac:dyDescent="0.2"/>
  <cols>
    <col min="1" max="1" width="4.5703125" style="12" customWidth="1"/>
    <col min="2" max="2" width="20.85546875" style="12" customWidth="1"/>
    <col min="3" max="4" width="8.7109375" style="12" customWidth="1"/>
    <col min="5" max="5" width="7.7109375" style="22" customWidth="1"/>
    <col min="6" max="7" width="7.7109375" style="12" customWidth="1"/>
    <col min="8" max="8" width="8.5703125" style="12" customWidth="1"/>
    <col min="9" max="11" width="7.7109375" style="12" customWidth="1"/>
    <col min="12" max="12" width="1.42578125" style="12" customWidth="1"/>
    <col min="13" max="13" width="6.5703125" style="12" customWidth="1"/>
    <col min="14" max="14" width="6.28515625" style="12" customWidth="1"/>
    <col min="15" max="15" width="6.140625" style="12" customWidth="1"/>
    <col min="16" max="16" width="6.85546875" style="12" customWidth="1"/>
    <col min="17" max="17" width="5.85546875" style="22" bestFit="1" customWidth="1"/>
    <col min="18" max="19" width="28.85546875" style="12" customWidth="1"/>
    <col min="20" max="20" width="28.28515625" style="12" customWidth="1"/>
    <col min="21" max="21" width="16" style="12" customWidth="1"/>
    <col min="22" max="24" width="37.5703125" style="12" customWidth="1"/>
    <col min="25" max="16384" width="11.5703125" style="12"/>
  </cols>
  <sheetData>
    <row r="1" spans="1:25" ht="12.75" customHeight="1" x14ac:dyDescent="0.2">
      <c r="A1" s="141"/>
      <c r="B1" s="141"/>
      <c r="C1" s="142"/>
      <c r="D1" s="142"/>
      <c r="E1" s="142"/>
      <c r="F1" s="142"/>
      <c r="G1" s="142"/>
      <c r="H1" s="143"/>
      <c r="I1" s="142"/>
      <c r="J1" s="144"/>
      <c r="K1" s="142"/>
      <c r="M1" s="256" t="s">
        <v>378</v>
      </c>
      <c r="N1" s="257" t="s">
        <v>379</v>
      </c>
      <c r="O1" s="257" t="s">
        <v>209</v>
      </c>
      <c r="P1" s="258" t="s">
        <v>380</v>
      </c>
      <c r="Q1" s="252" t="s">
        <v>377</v>
      </c>
      <c r="R1" s="145" t="str">
        <f>Stats!B5</f>
        <v>Thief</v>
      </c>
      <c r="S1" s="18" t="str">
        <f>IF(Stats!B6="","",Stats!B6)</f>
        <v>Rogue</v>
      </c>
      <c r="T1" s="281"/>
      <c r="U1" s="146" t="s">
        <v>381</v>
      </c>
      <c r="V1" s="12" t="s">
        <v>382</v>
      </c>
      <c r="W1" s="12" t="s">
        <v>383</v>
      </c>
      <c r="X1" s="12" t="s">
        <v>384</v>
      </c>
      <c r="Y1" s="12" t="s">
        <v>4115</v>
      </c>
    </row>
    <row r="2" spans="1:25" ht="12.75" customHeight="1" x14ac:dyDescent="0.2">
      <c r="A2" s="312" t="s">
        <v>385</v>
      </c>
      <c r="B2" s="312"/>
      <c r="C2" s="17" t="s">
        <v>4130</v>
      </c>
      <c r="D2" s="17" t="s">
        <v>4131</v>
      </c>
      <c r="E2" s="17" t="s">
        <v>386</v>
      </c>
      <c r="F2" s="17" t="s">
        <v>387</v>
      </c>
      <c r="G2" s="17" t="s">
        <v>388</v>
      </c>
      <c r="H2" s="147" t="s">
        <v>389</v>
      </c>
      <c r="I2" s="17" t="s">
        <v>390</v>
      </c>
      <c r="J2" s="148" t="s">
        <v>207</v>
      </c>
      <c r="K2" s="17" t="s">
        <v>209</v>
      </c>
      <c r="M2" s="259" t="s">
        <v>393</v>
      </c>
      <c r="N2" s="150" t="s">
        <v>394</v>
      </c>
      <c r="O2" s="151" t="s">
        <v>386</v>
      </c>
      <c r="P2" s="260">
        <f>Stats!$E$23-$P$384</f>
        <v>62.777777777777771</v>
      </c>
      <c r="Q2" s="253" t="s">
        <v>386</v>
      </c>
      <c r="R2" s="149" t="s">
        <v>391</v>
      </c>
      <c r="S2" s="107" t="s">
        <v>391</v>
      </c>
      <c r="T2" s="282" t="s">
        <v>392</v>
      </c>
      <c r="U2" s="146" t="s">
        <v>395</v>
      </c>
      <c r="V2" s="152" t="s">
        <v>2239</v>
      </c>
      <c r="W2" s="152" t="s">
        <v>3281</v>
      </c>
      <c r="X2" s="152" t="s">
        <v>3429</v>
      </c>
      <c r="Y2" s="12">
        <v>1</v>
      </c>
    </row>
    <row r="3" spans="1:25" ht="12.75" customHeight="1" x14ac:dyDescent="0.2">
      <c r="A3" s="116" t="s">
        <v>399</v>
      </c>
      <c r="B3" s="83"/>
      <c r="C3" s="100" t="str">
        <f>HLOOKUP(Stats!$B$5,Info!$E$2:$DD$57,2,0)</f>
        <v>4/4/4</v>
      </c>
      <c r="D3" s="100" t="str">
        <f>IF(Stats!$B$6="","",HLOOKUP(Stats!$B$6,Info!$E$2:$DD$57,2,0))</f>
        <v>3/3/3</v>
      </c>
      <c r="E3" s="153"/>
      <c r="F3" s="153">
        <f>VLOOKUP(E3,Info!$HB$1:$HI$203,2)</f>
        <v>-15</v>
      </c>
      <c r="G3" s="153" t="s">
        <v>400</v>
      </c>
      <c r="H3" s="153">
        <f>Stats!$I$18+Stats!$I$14</f>
        <v>8</v>
      </c>
      <c r="I3" s="171">
        <f>IF(Stats!$M$4="",HLOOKUP(Stats!$B$5,Info!$F$59:$DD$114,Info!$DF$3,0),((HLOOKUP(Stats!$B$5,Info!$F$59:$DD$114,Info!$DF$3,0)+HLOOKUP(Stats!$B$6,Info!$F$59:$DD$114,Info!$DF$3,0))/2-0.01))</f>
        <v>2.4900000000000002</v>
      </c>
      <c r="J3" s="153"/>
      <c r="K3" s="171">
        <f>F3+H3+I3+J3</f>
        <v>-4.51</v>
      </c>
      <c r="M3" s="261"/>
      <c r="O3" s="12">
        <f t="shared" ref="O3:O34" si="0">E3+M3</f>
        <v>0</v>
      </c>
      <c r="P3" s="245"/>
      <c r="Q3" s="254"/>
      <c r="R3" s="90" t="s">
        <v>401</v>
      </c>
      <c r="S3" s="90" t="s">
        <v>401</v>
      </c>
      <c r="T3" s="283">
        <f>HLOOKUP(Stats!$B$2,Info!$EO$3:$GZ$46,Info!$HA$45,0)</f>
        <v>12</v>
      </c>
      <c r="U3" s="154" t="s">
        <v>4116</v>
      </c>
      <c r="V3" s="33">
        <f>IF(VLOOKUP($V$2,Info!$E$258:$DK$383,Y3,0)="","",(VLOOKUP($V$2,Info!$E$258:$DK$383,Y3,0)))</f>
        <v>37</v>
      </c>
      <c r="W3" s="33">
        <f>IF(VLOOKUP($W$2,Info!$E$258:$DK$383,Y3,0)="","",(VLOOKUP($W$2,Info!$E$258:$DK$383,Y3,0)))</f>
        <v>29</v>
      </c>
      <c r="X3" s="33">
        <f>IF(VLOOKUP($X$2,Info!$E$258:$DK$383,Y3,0)="","",(VLOOKUP($X$2,Info!$E$258:$DK$383,Y3,0)))</f>
        <v>26</v>
      </c>
      <c r="Y3" s="12">
        <v>2</v>
      </c>
    </row>
    <row r="4" spans="1:25" ht="12.75" customHeight="1" x14ac:dyDescent="0.2">
      <c r="A4" s="56"/>
      <c r="B4" s="44" t="s">
        <v>402</v>
      </c>
      <c r="C4" s="21" t="str">
        <f>HLOOKUP(Stats!$B$5,Info!$E$2:$DD$57,2,0)</f>
        <v>4/4/4</v>
      </c>
      <c r="D4" s="21" t="str">
        <f>IF(Stats!$B$6="","",HLOOKUP(Stats!$B$6,Info!$E$2:$DD$57,2,0))</f>
        <v>3/3/3</v>
      </c>
      <c r="E4" s="21"/>
      <c r="F4" s="21">
        <f>VLOOKUP(E4,Info!$HB$1:$HI$203,3)</f>
        <v>-15</v>
      </c>
      <c r="G4" s="21" t="s">
        <v>403</v>
      </c>
      <c r="H4" s="21">
        <f>Stats!$I$18</f>
        <v>-5</v>
      </c>
      <c r="I4" s="21"/>
      <c r="J4" s="21"/>
      <c r="K4" s="76">
        <f>F4+H4+I4+J4+$K$3</f>
        <v>-24.509999999999998</v>
      </c>
      <c r="M4" s="261"/>
      <c r="O4" s="12">
        <f t="shared" si="0"/>
        <v>0</v>
      </c>
      <c r="P4" s="245"/>
      <c r="Q4" s="254"/>
      <c r="R4" s="23" t="str">
        <f>IF(HLOOKUP(Stats!$B$2,Info!$EO$51:$GZ$60,Info!$HA$52,0)=0,"",HLOOKUP(Stats!$B$2,Info!$EO$51:$GZ$60,Info!$HA$52,0))</f>
        <v>Stalking</v>
      </c>
      <c r="S4" s="23"/>
      <c r="T4" s="280" t="str">
        <f>HLOOKUP(Stats!$B$2,Info!$EO$70:$GZ$132,Info!$HA$71,0)</f>
        <v>Can speak with small animals (size no larger than gnome, equal to rank 4)</v>
      </c>
      <c r="U4" s="154" t="s">
        <v>404</v>
      </c>
      <c r="V4" s="33" t="str">
        <f>IF(VLOOKUP($V$2,Info!$E$258:$DK$383,Y4,0)="","",(VLOOKUP($V$2,Info!$E$258:$DK$383,Y4,0)))</f>
        <v>Normal + d10</v>
      </c>
      <c r="W4" s="33" t="str">
        <f>IF(VLOOKUP($W$2,Info!$E$258:$DK$383,Y4,0)="","",(VLOOKUP($W$2,Info!$E$258:$DK$383,Y4,0)))</f>
        <v>Normal</v>
      </c>
      <c r="X4" s="33" t="str">
        <f>IF(VLOOKUP($X$2,Info!$E$258:$DK$383,Y4,0)="","",(VLOOKUP($X$2,Info!$E$258:$DK$383,Y4,0)))</f>
        <v>Normal</v>
      </c>
      <c r="Y4" s="12">
        <v>3</v>
      </c>
    </row>
    <row r="5" spans="1:25" ht="12.75" customHeight="1" x14ac:dyDescent="0.2">
      <c r="A5" s="116" t="s">
        <v>405</v>
      </c>
      <c r="B5" s="83"/>
      <c r="C5" s="100" t="str">
        <f>HLOOKUP(Stats!$B$5,Info!$E$2:$DD$57,3,0)</f>
        <v>2/2/2</v>
      </c>
      <c r="D5" s="100" t="str">
        <f>IF(Stats!$B$6="","",HLOOKUP(Stats!$B$6,Info!$E$2:$DD$57,3,0))</f>
        <v>1/1/1</v>
      </c>
      <c r="E5" s="153"/>
      <c r="F5" s="153">
        <f>VLOOKUP(E5,Info!$HB$1:$HI$203,2)</f>
        <v>-15</v>
      </c>
      <c r="G5" s="153" t="s">
        <v>406</v>
      </c>
      <c r="H5" s="153">
        <f>Stats!$I$18+Stats!$I$14</f>
        <v>8</v>
      </c>
      <c r="I5" s="171">
        <f>IF(Stats!$M$4="",HLOOKUP(Stats!$B$5,Info!$F$59:$DD$114,Info!$DF$4,0),((HLOOKUP(Stats!$B$5,Info!$F$59:$DD$114,Info!$DF$4,0)+HLOOKUP(Stats!$B$6,Info!$F$59:$DD$114,Info!$DF$4,0))/2-0.01))</f>
        <v>2.4900000000000002</v>
      </c>
      <c r="J5" s="153"/>
      <c r="K5" s="171">
        <f>F5+H5+I5+J5</f>
        <v>-4.51</v>
      </c>
      <c r="M5" s="261"/>
      <c r="O5" s="12">
        <f t="shared" si="0"/>
        <v>0</v>
      </c>
      <c r="P5" s="245"/>
      <c r="Q5" s="254"/>
      <c r="R5" s="23" t="str">
        <f>IF(HLOOKUP(Stats!$B$2,Info!$EO$51:$GZ$60,Info!$HA$53,0)=0,"",HLOOKUP(Stats!$B$2,Info!$EO$51:$GZ$60,Info!$HA$53,0))</f>
        <v>Hiding</v>
      </c>
      <c r="S5" s="23"/>
      <c r="T5" s="280" t="str">
        <f>HLOOKUP(Stats!$B$2,Info!$EO$70:$GZ$132,Info!$HA$72,0)</f>
        <v>In forest can pass without leaving trace</v>
      </c>
      <c r="U5" s="154" t="s">
        <v>207</v>
      </c>
      <c r="V5" s="33" t="str">
        <f>IF(VLOOKUP($V$2,Info!$E$258:$DK$383,Y5,0)="","",(VLOOKUP($V$2,Info!$E$258:$DK$383,Y5,0)))</f>
        <v>Stolen jewelry worth 10d10 sp (50)</v>
      </c>
      <c r="W5" s="33" t="str">
        <f>IF(VLOOKUP($W$2,Info!$E$258:$DK$383,Y5,0)="","",(VLOOKUP($W$2,Info!$E$258:$DK$383,Y5,0)))</f>
        <v>Book, +10NM to Siege Engineering (50)</v>
      </c>
      <c r="X5" s="33" t="str">
        <f>IF(VLOOKUP($X$2,Info!$E$258:$DK$383,Y5,0)="","",(VLOOKUP($X$2,Info!$E$258:$DK$383,Y5,0)))</f>
        <v>Useful underworld contacts (30)</v>
      </c>
      <c r="Y5" s="12">
        <v>4</v>
      </c>
    </row>
    <row r="6" spans="1:25" ht="12.75" customHeight="1" x14ac:dyDescent="0.2">
      <c r="A6" s="59"/>
      <c r="B6" s="138" t="s">
        <v>407</v>
      </c>
      <c r="C6" s="21" t="str">
        <f>HLOOKUP(Stats!$B$5,Info!$E$2:$DD$57,3,0)</f>
        <v>2/2/2</v>
      </c>
      <c r="D6" s="21" t="str">
        <f>IF(Stats!$B$6="","",HLOOKUP(Stats!$B$6,Info!$E$2:$DD$57,3,0))</f>
        <v>1/1/1</v>
      </c>
      <c r="E6" s="21"/>
      <c r="F6" s="21">
        <f>VLOOKUP(E6,Info!$HB$1:$HI$203,3)</f>
        <v>-15</v>
      </c>
      <c r="G6" s="21" t="s">
        <v>408</v>
      </c>
      <c r="H6" s="21">
        <f>Stats!$I$14</f>
        <v>13</v>
      </c>
      <c r="I6" s="21"/>
      <c r="J6" s="21"/>
      <c r="K6" s="76">
        <f>F6+H6+I6+J6+$K$5</f>
        <v>-6.51</v>
      </c>
      <c r="M6" s="261"/>
      <c r="O6" s="12">
        <f t="shared" si="0"/>
        <v>0</v>
      </c>
      <c r="P6" s="245"/>
      <c r="Q6" s="254">
        <f>HLOOKUP(Stats!$B$2,Info!$EN$3:$GZ$48,Info!$HA$4,0)</f>
        <v>0</v>
      </c>
      <c r="R6" s="23" t="str">
        <f>IF(HLOOKUP(Stats!$B$2,Info!$EO$51:$GZ$60,Info!$HA$54,0)=0,"",HLOOKUP(Stats!$B$2,Info!$EO$51:$GZ$60,Info!$HA$54,0))</f>
        <v>Foraging - Forest</v>
      </c>
      <c r="S6" s="23"/>
      <c r="T6" s="280" t="str">
        <f>HLOOKUP(Stats!$B$2,Info!$EO$70:$GZ$132,Info!$HA$73,0)</f>
        <v>+10 to Outdoor Animal CAT</v>
      </c>
      <c r="U6" s="154"/>
      <c r="V6" s="33" t="str">
        <f>IF(VLOOKUP($V$2,Info!$E$258:$DK$383,Y6,0)="","",(VLOOKUP($V$2,Info!$E$258:$DK$383,Y6,0)))</f>
        <v>Stolen gems worth 10d10 sp (50)</v>
      </c>
      <c r="W6" s="33" t="str">
        <f>IF(VLOOKUP($W$2,Info!$E$258:$DK$383,Y6,0)="","",(VLOOKUP($W$2,Info!$E$258:$DK$383,Y6,0)))</f>
        <v>Book, +10NM to Mechanition (40)</v>
      </c>
      <c r="X6" s="33" t="str">
        <f>IF(VLOOKUP($X$2,Info!$E$258:$DK$383,Y6,0)="","",(VLOOKUP($X$2,Info!$E$258:$DK$383,Y6,0)))</f>
        <v>Tattered rags, +5NM Begging (40)</v>
      </c>
      <c r="Y6" s="12">
        <v>5</v>
      </c>
    </row>
    <row r="7" spans="1:25" ht="12.75" customHeight="1" x14ac:dyDescent="0.2">
      <c r="A7" s="97"/>
      <c r="B7" s="155" t="s">
        <v>409</v>
      </c>
      <c r="C7" s="21" t="str">
        <f>HLOOKUP(Stats!$B$5,Info!$E$2:$DD$57,3,0)</f>
        <v>2/2/2</v>
      </c>
      <c r="D7" s="21" t="str">
        <f>IF(Stats!$B$6="","",HLOOKUP(Stats!$B$6,Info!$E$2:$DD$57,3,0))</f>
        <v>1/1/1</v>
      </c>
      <c r="E7" s="21"/>
      <c r="F7" s="21">
        <f>VLOOKUP(E7,Info!$HB$1:$HI$203,3)</f>
        <v>-15</v>
      </c>
      <c r="G7" s="21" t="s">
        <v>408</v>
      </c>
      <c r="H7" s="21">
        <f>Stats!$I$14</f>
        <v>13</v>
      </c>
      <c r="I7" s="21"/>
      <c r="J7" s="21"/>
      <c r="K7" s="76">
        <f>F7+H7+I7+J7+$K$5</f>
        <v>-6.51</v>
      </c>
      <c r="M7" s="261"/>
      <c r="O7" s="12">
        <f t="shared" si="0"/>
        <v>0</v>
      </c>
      <c r="P7" s="245"/>
      <c r="Q7" s="254">
        <f>HLOOKUP(Stats!$B$2,Info!$EN$3:$GZ$48,Info!$HA$5,0)</f>
        <v>1</v>
      </c>
      <c r="R7" s="23" t="str">
        <f>IF(HLOOKUP(Stats!$B$2,Info!$EO$51:$GZ$60,Info!$HA$55,0)=0,"",HLOOKUP(Stats!$B$2,Info!$EO$51:$GZ$60,Info!$HA$55,0))</f>
        <v>Music</v>
      </c>
      <c r="S7" s="23"/>
      <c r="T7" s="280" t="str">
        <f>HLOOKUP(Stats!$B$2,Info!$EO$70:$GZ$132,Info!$HA$74,0)</f>
        <v>+15 Stalk</v>
      </c>
      <c r="U7" s="154"/>
      <c r="V7" s="33" t="str">
        <f>IF(VLOOKUP($V$2,Info!$E$258:$DK$383,Y7,0)="","",(VLOOKUP($V$2,Info!$E$258:$DK$383,Y7,0)))</f>
        <v>Stolen document (e.g. Map, deed etc) (50)</v>
      </c>
      <c r="W7" s="33" t="str">
        <f>IF(VLOOKUP($W$2,Info!$E$258:$DK$383,Y7,0)="","",(VLOOKUP($W$2,Info!$E$258:$DK$383,Y7,0)))</f>
        <v>Draft of superior siege engine</v>
      </c>
      <c r="X7" s="33" t="str">
        <f>IF(VLOOKUP($X$2,Info!$E$258:$DK$383,Y7,0)="","",(VLOOKUP($X$2,Info!$E$258:$DK$383,Y7,0)))</f>
        <v>Random bubonic disease (20)</v>
      </c>
      <c r="Y7" s="12">
        <v>6</v>
      </c>
    </row>
    <row r="8" spans="1:25" ht="12.75" customHeight="1" x14ac:dyDescent="0.2">
      <c r="A8" s="116" t="s">
        <v>410</v>
      </c>
      <c r="B8" s="83"/>
      <c r="C8" s="100" t="str">
        <f>HLOOKUP(Stats!$B$5,Info!$E$2:$DD$57,4,0)</f>
        <v>3/3/3</v>
      </c>
      <c r="D8" s="100" t="str">
        <f>IF(Stats!$B$6="","",HLOOKUP(Stats!$B$6,Info!$E$2:$DD$57,4,0))</f>
        <v>2/2/2</v>
      </c>
      <c r="E8" s="153"/>
      <c r="F8" s="153">
        <f>VLOOKUP(E8,Info!$HB$1:$HI$203,2)</f>
        <v>-15</v>
      </c>
      <c r="G8" s="153" t="s">
        <v>400</v>
      </c>
      <c r="H8" s="153">
        <f>Stats!$I$18+Stats!$I$14</f>
        <v>8</v>
      </c>
      <c r="I8" s="171">
        <f>IF(Stats!$M$4="",HLOOKUP(Stats!$B$5,Info!$F$59:$DD$114,Info!$DF$5,0),((HLOOKUP(Stats!$B$5,Info!$F$59:$DD$114,Info!$DF$5,0)+HLOOKUP(Stats!$B$6,Info!$F$59:$DD$114,Info!$DF$5,0))/2-0.01))</f>
        <v>2.4900000000000002</v>
      </c>
      <c r="J8" s="153"/>
      <c r="K8" s="171">
        <f>F8+H8+I8+J8</f>
        <v>-4.51</v>
      </c>
      <c r="M8" s="261"/>
      <c r="O8" s="12">
        <f t="shared" si="0"/>
        <v>0</v>
      </c>
      <c r="P8" s="245"/>
      <c r="Q8" s="254">
        <f>HLOOKUP(Stats!$B$2,Info!$EN$3:$GZ$48,Info!$HA$6,0)</f>
        <v>0</v>
      </c>
      <c r="R8" s="23" t="str">
        <f>IF(HLOOKUP(Stats!$B$2,Info!$EO$51:$GZ$60,Info!$HA$56,0)=0,"",HLOOKUP(Stats!$B$2,Info!$EO$51:$GZ$60,Info!$HA$56,0))</f>
        <v>Play Instrument</v>
      </c>
      <c r="S8" s="23"/>
      <c r="T8" s="280" t="str">
        <f>HLOOKUP(Stats!$B$2,Info!$EO$70:$GZ$132,Info!$HA$75,0)</f>
        <v>+15 Hiding</v>
      </c>
      <c r="U8" s="154"/>
      <c r="V8" s="33" t="str">
        <f>IF(VLOOKUP($V$2,Info!$E$258:$DK$383,Y8,0)="","",(VLOOKUP($V$2,Info!$E$258:$DK$383,Y8,0)))</f>
        <v>Disguise kit +10NM (40)</v>
      </c>
      <c r="W8" s="33" t="str">
        <f>IF(VLOOKUP($W$2,Info!$E$258:$DK$383,Y8,0)="","",(VLOOKUP($W$2,Info!$E$258:$DK$383,Y8,0)))</f>
        <v>Mercenary contacts (20)</v>
      </c>
      <c r="X8" s="33" t="str">
        <f>IF(VLOOKUP($X$2,Info!$E$258:$DK$383,Y8,0)="","",(VLOOKUP($X$2,Info!$E$258:$DK$383,Y8,0)))</f>
        <v>Make-up kit, +10NM Disguise (20)</v>
      </c>
      <c r="Y8" s="12">
        <v>7</v>
      </c>
    </row>
    <row r="9" spans="1:25" ht="12.75" customHeight="1" x14ac:dyDescent="0.2">
      <c r="A9" s="56"/>
      <c r="B9" s="44" t="s">
        <v>411</v>
      </c>
      <c r="C9" s="21" t="str">
        <f>HLOOKUP(Stats!$B$5,Info!$E$2:$DD$57,4,0)</f>
        <v>3/3/3</v>
      </c>
      <c r="D9" s="21" t="str">
        <f>IF(Stats!$B$6="","",HLOOKUP(Stats!$B$6,Info!$E$2:$DD$57,4,0))</f>
        <v>2/2/2</v>
      </c>
      <c r="E9" s="21"/>
      <c r="F9" s="21">
        <f>VLOOKUP(E9,Info!$HB$1:$HI$203,3)</f>
        <v>-15</v>
      </c>
      <c r="G9" s="21" t="s">
        <v>403</v>
      </c>
      <c r="H9" s="21">
        <f>Stats!$I$18</f>
        <v>-5</v>
      </c>
      <c r="I9" s="21"/>
      <c r="J9" s="21"/>
      <c r="K9" s="76">
        <f>F9+H9+I9+J9+$K$8</f>
        <v>-24.509999999999998</v>
      </c>
      <c r="M9" s="261"/>
      <c r="O9" s="12">
        <f t="shared" si="0"/>
        <v>0</v>
      </c>
      <c r="P9" s="245"/>
      <c r="Q9" s="254">
        <f>HLOOKUP(Stats!$B$2,Info!$EN$3:$GZ$48,Info!$HA$7,0)</f>
        <v>0</v>
      </c>
      <c r="R9" s="23" t="str">
        <f>IF(HLOOKUP(Stats!$B$2,Info!$EO$51:$GZ$60,Info!$HA$57,0)=0,"",HLOOKUP(Stats!$B$2,Info!$EO$51:$GZ$60,Info!$HA$57,0))</f>
        <v>Singing</v>
      </c>
      <c r="S9" s="23"/>
      <c r="T9" s="280" t="str">
        <f>HLOOKUP(Stats!$B$2,Info!$EO$70:$GZ$132,Info!$HA$76,0)</f>
        <v>+20 Survival - Forest</v>
      </c>
      <c r="U9" s="154"/>
      <c r="V9" s="33" t="str">
        <f>IF(VLOOKUP($V$2,Info!$E$258:$DK$383,Y9,0)="","",(VLOOKUP($V$2,Info!$E$258:$DK$383,Y9,0)))</f>
        <v>Reliable fencing contacts (30)</v>
      </c>
      <c r="W9" s="33" t="str">
        <f>IF(VLOOKUP($W$2,Info!$E$258:$DK$383,Y9,0)="","",(VLOOKUP($W$2,Info!$E$258:$DK$383,Y9,0)))</f>
        <v>Tool kit, +10NM (0)</v>
      </c>
      <c r="X9" s="33" t="str">
        <f>IF(VLOOKUP($X$2,Info!$E$258:$DK$383,Y9,0)="","",(VLOOKUP($X$2,Info!$E$258:$DK$383,Y9,0)))</f>
        <v>Small palm knife, +10NM pick pockets (30)</v>
      </c>
      <c r="Y9" s="12">
        <v>8</v>
      </c>
    </row>
    <row r="10" spans="1:25" ht="12.75" customHeight="1" x14ac:dyDescent="0.2">
      <c r="A10" s="116" t="s">
        <v>412</v>
      </c>
      <c r="B10" s="83"/>
      <c r="C10" s="100" t="str">
        <f>HLOOKUP(Stats!$B$5,Info!$E$2:$DD$57,5,0)</f>
        <v>2/4</v>
      </c>
      <c r="D10" s="100" t="str">
        <f>IF(Stats!$B$6="","",HLOOKUP(Stats!$B$6,Info!$E$2:$DD$57,5,0))</f>
        <v>2/4</v>
      </c>
      <c r="E10" s="153"/>
      <c r="F10" s="153">
        <f>VLOOKUP(E10,Info!$HB$1:$HI$203,2)</f>
        <v>-15</v>
      </c>
      <c r="G10" s="153" t="s">
        <v>413</v>
      </c>
      <c r="H10" s="153">
        <f>Stats!$I$20+Stats!$I$21</f>
        <v>-2</v>
      </c>
      <c r="I10" s="171">
        <f>IF(Stats!$M$4="",HLOOKUP(Stats!$B$5,Info!$F$59:$DD$114,Info!$DF$6,0),((HLOOKUP(Stats!$B$5,Info!$F$59:$DD$114,Info!$DF$6,0)+HLOOKUP(Stats!$B$6,Info!$F$59:$DD$114,Info!$DF$6,0))/2-0.01))</f>
        <v>-0.01</v>
      </c>
      <c r="J10" s="153"/>
      <c r="K10" s="171">
        <f>F10+H10+I10+J10</f>
        <v>-17.010000000000002</v>
      </c>
      <c r="M10" s="261"/>
      <c r="O10" s="12">
        <f t="shared" si="0"/>
        <v>0</v>
      </c>
      <c r="P10" s="245"/>
      <c r="Q10" s="254"/>
      <c r="R10" s="23" t="str">
        <f>IF(HLOOKUP(Stats!$B$2,Info!$EO$51:$GZ$60,Info!$HA$58,0)=0,"",HLOOKUP(Stats!$B$2,Info!$EO$51:$GZ$60,Info!$HA$58,0))</f>
        <v/>
      </c>
      <c r="S10" s="23"/>
      <c r="T10" s="280" t="str">
        <f>HLOOKUP(Stats!$B$2,Info!$EO$70:$GZ$132,Info!$HA$77,0)</f>
        <v>Attunement</v>
      </c>
      <c r="U10" s="154"/>
      <c r="V10" s="33" t="str">
        <f>IF(VLOOKUP($V$2,Info!$E$258:$DK$383,Y10,0)="","",(VLOOKUP($V$2,Info!$E$258:$DK$383,Y10,0)))</f>
        <v>Underworld contacts (0)</v>
      </c>
      <c r="W10" s="33" t="str">
        <f>IF(VLOOKUP($W$2,Info!$E$258:$DK$383,Y10,0)="","",(VLOOKUP($W$2,Info!$E$258:$DK$383,Y10,0)))</f>
        <v/>
      </c>
      <c r="X10" s="33" t="str">
        <f>IF(VLOOKUP($X$2,Info!$E$258:$DK$383,Y10,0)="","",(VLOOKUP($X$2,Info!$E$258:$DK$383,Y10,0)))</f>
        <v>Tin begging cup (0)</v>
      </c>
      <c r="Y10" s="12">
        <v>9</v>
      </c>
    </row>
    <row r="11" spans="1:25" ht="12.75" customHeight="1" x14ac:dyDescent="0.2">
      <c r="A11" s="59"/>
      <c r="B11" s="138" t="s">
        <v>414</v>
      </c>
      <c r="C11" s="21" t="str">
        <f>HLOOKUP(Stats!$B$5,Info!$E$2:$DD$57,5,0)</f>
        <v>2/4</v>
      </c>
      <c r="D11" s="21" t="str">
        <f>IF(Stats!$B$6="","",HLOOKUP(Stats!$B$6,Info!$E$2:$DD$57,5,0))</f>
        <v>2/4</v>
      </c>
      <c r="E11" s="21"/>
      <c r="F11" s="21">
        <f>VLOOKUP(E11,Info!$HB$1:$HI$203,3)</f>
        <v>-15</v>
      </c>
      <c r="G11" s="21" t="s">
        <v>222</v>
      </c>
      <c r="H11" s="21">
        <f>Stats!$I$15</f>
        <v>1</v>
      </c>
      <c r="I11" s="21"/>
      <c r="J11" s="21"/>
      <c r="K11" s="76">
        <f t="shared" ref="K11:K20" si="1">F11+H11+I11+J11+$K$10</f>
        <v>-31.01</v>
      </c>
      <c r="M11" s="261"/>
      <c r="O11" s="12">
        <f t="shared" si="0"/>
        <v>0</v>
      </c>
      <c r="P11" s="245"/>
      <c r="Q11" s="254"/>
      <c r="R11" s="23" t="str">
        <f>IF(HLOOKUP(Stats!$B$2,Info!$EO$51:$GZ$60,Info!$HA$59,0)=0,"",HLOOKUP(Stats!$B$2,Info!$EO$51:$GZ$60,Info!$HA$59,0))</f>
        <v/>
      </c>
      <c r="S11" s="23"/>
      <c r="T11" s="280" t="str">
        <f>HLOOKUP(Stats!$B$2,Info!$EO$70:$GZ$132,Info!$HA$78,0)</f>
        <v>Caving</v>
      </c>
      <c r="U11" s="154"/>
      <c r="V11" s="33" t="str">
        <f>IF(VLOOKUP($V$2,Info!$E$258:$DK$383,Y11,0)="","",(VLOOKUP($V$2,Info!$E$258:$DK$383,Y11,0)))</f>
        <v/>
      </c>
      <c r="W11" s="33" t="str">
        <f>IF(VLOOKUP($W$2,Info!$E$258:$DK$383,Y11,0)="","",(VLOOKUP($W$2,Info!$E$258:$DK$383,Y11,0)))</f>
        <v/>
      </c>
      <c r="X11" s="33" t="str">
        <f>IF(VLOOKUP($X$2,Info!$E$258:$DK$383,Y11,0)="","",(VLOOKUP($X$2,Info!$E$258:$DK$383,Y11,0)))</f>
        <v/>
      </c>
      <c r="Y11" s="12">
        <v>10</v>
      </c>
    </row>
    <row r="12" spans="1:25" ht="12.75" customHeight="1" x14ac:dyDescent="0.2">
      <c r="A12" s="21"/>
      <c r="B12" s="38" t="s">
        <v>415</v>
      </c>
      <c r="C12" s="21" t="str">
        <f>HLOOKUP(Stats!$B$5,Info!$E$2:$DD$57,5,0)</f>
        <v>2/4</v>
      </c>
      <c r="D12" s="21" t="str">
        <f>IF(Stats!$B$6="","",HLOOKUP(Stats!$B$6,Info!$E$2:$DD$57,5,0))</f>
        <v>2/4</v>
      </c>
      <c r="E12" s="21"/>
      <c r="F12" s="21">
        <f>VLOOKUP(E12,Info!$HB$1:$HI$203,3)</f>
        <v>-15</v>
      </c>
      <c r="G12" s="21" t="s">
        <v>408</v>
      </c>
      <c r="H12" s="21">
        <f>Stats!$I$14</f>
        <v>13</v>
      </c>
      <c r="I12" s="21"/>
      <c r="J12" s="21"/>
      <c r="K12" s="76">
        <f t="shared" si="1"/>
        <v>-19.010000000000002</v>
      </c>
      <c r="M12" s="261"/>
      <c r="O12" s="12">
        <f t="shared" si="0"/>
        <v>0</v>
      </c>
      <c r="P12" s="245"/>
      <c r="Q12" s="254"/>
      <c r="R12" s="23" t="str">
        <f>IF(HLOOKUP(Stats!$B$2,Info!$EO$51:$GZ$60,Info!$HA$60,0)=0,"",HLOOKUP(Stats!$B$2,Info!$EO$51:$GZ$60,Info!$HA$60,0))</f>
        <v/>
      </c>
      <c r="S12" s="23"/>
      <c r="T12" s="280" t="str">
        <f>HLOOKUP(Stats!$B$2,Info!$EO$70:$GZ$132,Info!$HA$79,0)</f>
        <v>Climbing</v>
      </c>
      <c r="U12" s="154"/>
      <c r="V12" s="33" t="str">
        <f>IF(VLOOKUP($V$2,Info!$E$258:$DK$383,Y12,0)="","",(VLOOKUP($V$2,Info!$E$258:$DK$383,Y12,0)))</f>
        <v/>
      </c>
      <c r="W12" s="33" t="str">
        <f>IF(VLOOKUP($W$2,Info!$E$258:$DK$383,Y12,0)="","",(VLOOKUP($W$2,Info!$E$258:$DK$383,Y12,0)))</f>
        <v/>
      </c>
      <c r="X12" s="33" t="str">
        <f>IF(VLOOKUP($X$2,Info!$E$258:$DK$383,Y12,0)="","",(VLOOKUP($X$2,Info!$E$258:$DK$383,Y12,0)))</f>
        <v/>
      </c>
      <c r="Y12" s="12">
        <v>11</v>
      </c>
    </row>
    <row r="13" spans="1:25" ht="12.75" customHeight="1" x14ac:dyDescent="0.2">
      <c r="A13" s="21"/>
      <c r="B13" s="38" t="s">
        <v>416</v>
      </c>
      <c r="C13" s="21" t="str">
        <f>HLOOKUP(Stats!$B$5,Info!$E$2:$DD$57,5,0)</f>
        <v>2/4</v>
      </c>
      <c r="D13" s="21" t="str">
        <f>IF(Stats!$B$6="","",HLOOKUP(Stats!$B$6,Info!$E$2:$DD$57,5,0))</f>
        <v>2/4</v>
      </c>
      <c r="E13" s="21"/>
      <c r="F13" s="21">
        <f>VLOOKUP(E13,Info!$HB$1:$HI$203,3)</f>
        <v>-15</v>
      </c>
      <c r="G13" s="21" t="s">
        <v>222</v>
      </c>
      <c r="H13" s="21">
        <f>Stats!$I$15</f>
        <v>1</v>
      </c>
      <c r="I13" s="21"/>
      <c r="J13" s="21"/>
      <c r="K13" s="76">
        <f t="shared" si="1"/>
        <v>-31.01</v>
      </c>
      <c r="M13" s="261"/>
      <c r="O13" s="12">
        <f t="shared" si="0"/>
        <v>0</v>
      </c>
      <c r="P13" s="245"/>
      <c r="Q13" s="254"/>
      <c r="R13" s="11"/>
      <c r="S13" s="11"/>
      <c r="T13" s="280" t="str">
        <f>HLOOKUP(Stats!$B$2,Info!$EO$70:$GZ$132,Info!$HA$80,0)</f>
        <v>Contortions</v>
      </c>
      <c r="U13" s="154"/>
      <c r="V13" s="33" t="str">
        <f>IF(VLOOKUP($V$2,Info!$E$258:$DK$383,Y13,0)="","",(VLOOKUP($V$2,Info!$E$258:$DK$383,Y13,0)))</f>
        <v/>
      </c>
      <c r="W13" s="33" t="str">
        <f>IF(VLOOKUP($W$2,Info!$E$258:$DK$383,Y13,0)="","",(VLOOKUP($W$2,Info!$E$258:$DK$383,Y13,0)))</f>
        <v/>
      </c>
      <c r="X13" s="33" t="str">
        <f>IF(VLOOKUP($X$2,Info!$E$258:$DK$383,Y13,0)="","",(VLOOKUP($X$2,Info!$E$258:$DK$383,Y13,0)))</f>
        <v/>
      </c>
      <c r="Y13" s="12">
        <v>12</v>
      </c>
    </row>
    <row r="14" spans="1:25" ht="12.75" customHeight="1" x14ac:dyDescent="0.2">
      <c r="A14" s="21"/>
      <c r="B14" s="38" t="s">
        <v>417</v>
      </c>
      <c r="C14" s="21" t="str">
        <f>HLOOKUP(Stats!$B$5,Info!$E$2:$DD$57,5,0)</f>
        <v>2/4</v>
      </c>
      <c r="D14" s="21" t="str">
        <f>IF(Stats!$B$6="","",HLOOKUP(Stats!$B$6,Info!$E$2:$DD$57,5,0))</f>
        <v>2/4</v>
      </c>
      <c r="E14" s="21"/>
      <c r="F14" s="21">
        <f>VLOOKUP(E14,Info!$HB$1:$HI$203,3)</f>
        <v>-15</v>
      </c>
      <c r="G14" s="21" t="s">
        <v>418</v>
      </c>
      <c r="H14" s="21">
        <f>Stats!$I$16</f>
        <v>4</v>
      </c>
      <c r="I14" s="21"/>
      <c r="J14" s="21"/>
      <c r="K14" s="76">
        <f t="shared" si="1"/>
        <v>-28.01</v>
      </c>
      <c r="M14" s="261"/>
      <c r="O14" s="12">
        <f t="shared" si="0"/>
        <v>0</v>
      </c>
      <c r="P14" s="245"/>
      <c r="Q14" s="254"/>
      <c r="R14" s="11"/>
      <c r="S14" s="11"/>
      <c r="T14" s="280" t="str">
        <f>HLOOKUP(Stats!$B$2,Info!$EO$70:$GZ$132,Info!$HA$81,0)</f>
        <v>Disarming Traps</v>
      </c>
      <c r="U14" s="154"/>
      <c r="V14" s="33" t="str">
        <f>IF(VLOOKUP($V$2,Info!$E$258:$DK$383,Y14,0)="","",(VLOOKUP($V$2,Info!$E$258:$DK$383,Y14,0)))</f>
        <v/>
      </c>
      <c r="W14" s="33" t="str">
        <f>IF(VLOOKUP($W$2,Info!$E$258:$DK$383,Y14,0)="","",(VLOOKUP($W$2,Info!$E$258:$DK$383,Y14,0)))</f>
        <v/>
      </c>
      <c r="X14" s="33" t="str">
        <f>IF(VLOOKUP($X$2,Info!$E$258:$DK$383,Y14,0)="","",(VLOOKUP($X$2,Info!$E$258:$DK$383,Y14,0)))</f>
        <v/>
      </c>
      <c r="Y14" s="12">
        <v>13</v>
      </c>
    </row>
    <row r="15" spans="1:25" ht="12.75" customHeight="1" x14ac:dyDescent="0.2">
      <c r="A15" s="21"/>
      <c r="B15" s="38" t="s">
        <v>419</v>
      </c>
      <c r="C15" s="21" t="str">
        <f>HLOOKUP(Stats!$B$5,Info!$E$2:$DD$57,5,0)</f>
        <v>2/4</v>
      </c>
      <c r="D15" s="21" t="str">
        <f>IF(Stats!$B$6="","",HLOOKUP(Stats!$B$6,Info!$E$2:$DD$57,5,0))</f>
        <v>2/4</v>
      </c>
      <c r="E15" s="21"/>
      <c r="F15" s="21">
        <f>VLOOKUP(E15,Info!$HB$1:$HI$203,3)</f>
        <v>-15</v>
      </c>
      <c r="G15" s="21" t="s">
        <v>408</v>
      </c>
      <c r="H15" s="21">
        <f>Stats!$I$14</f>
        <v>13</v>
      </c>
      <c r="I15" s="21"/>
      <c r="J15" s="21"/>
      <c r="K15" s="76">
        <f t="shared" si="1"/>
        <v>-19.010000000000002</v>
      </c>
      <c r="M15" s="261"/>
      <c r="O15" s="12">
        <f t="shared" si="0"/>
        <v>0</v>
      </c>
      <c r="P15" s="245"/>
      <c r="Q15" s="254"/>
      <c r="R15" s="11"/>
      <c r="S15" s="11"/>
      <c r="T15" s="280" t="str">
        <f>HLOOKUP(Stats!$B$2,Info!$EO$70:$GZ$132,Info!$HA$82,0)</f>
        <v>First Aid</v>
      </c>
      <c r="U15" s="154"/>
      <c r="V15" s="33" t="str">
        <f>IF(VLOOKUP($V$2,Info!$E$258:$DK$383,Y15,0)="","",(VLOOKUP($V$2,Info!$E$258:$DK$383,Y15,0)))</f>
        <v/>
      </c>
      <c r="W15" s="33" t="str">
        <f>IF(VLOOKUP($W$2,Info!$E$258:$DK$383,Y15,0)="","",(VLOOKUP($W$2,Info!$E$258:$DK$383,Y15,0)))</f>
        <v/>
      </c>
      <c r="X15" s="33" t="str">
        <f>IF(VLOOKUP($X$2,Info!$E$258:$DK$383,Y15,0)="","",(VLOOKUP($X$2,Info!$E$258:$DK$383,Y15,0)))</f>
        <v/>
      </c>
      <c r="Y15" s="12">
        <v>14</v>
      </c>
    </row>
    <row r="16" spans="1:25" ht="12.75" customHeight="1" x14ac:dyDescent="0.2">
      <c r="A16" s="21"/>
      <c r="B16" s="38" t="s">
        <v>419</v>
      </c>
      <c r="C16" s="21" t="str">
        <f>HLOOKUP(Stats!$B$5,Info!$E$2:$DD$57,5,0)</f>
        <v>2/4</v>
      </c>
      <c r="D16" s="21" t="str">
        <f>IF(Stats!$B$6="","",HLOOKUP(Stats!$B$6,Info!$E$2:$DD$57,5,0))</f>
        <v>2/4</v>
      </c>
      <c r="E16" s="21"/>
      <c r="F16" s="21">
        <f>VLOOKUP(E16,Info!$HB$1:$HI$203,3)</f>
        <v>-15</v>
      </c>
      <c r="G16" s="21" t="s">
        <v>408</v>
      </c>
      <c r="H16" s="21">
        <f>Stats!$I$14</f>
        <v>13</v>
      </c>
      <c r="I16" s="21"/>
      <c r="J16" s="21"/>
      <c r="K16" s="76">
        <f t="shared" si="1"/>
        <v>-19.010000000000002</v>
      </c>
      <c r="M16" s="261"/>
      <c r="O16" s="12">
        <f t="shared" si="0"/>
        <v>0</v>
      </c>
      <c r="P16" s="245"/>
      <c r="Q16" s="254"/>
      <c r="R16" s="92"/>
      <c r="S16" s="11"/>
      <c r="T16" s="280" t="str">
        <f>HLOOKUP(Stats!$B$2,Info!$EO$70:$GZ$132,Info!$HA$83,0)</f>
        <v>Foraging (Mountain / Hills)</v>
      </c>
      <c r="U16" s="154"/>
      <c r="V16" s="33" t="str">
        <f>IF(VLOOKUP($V$2,Info!$E$258:$DK$383,Y16,0)="","",(VLOOKUP($V$2,Info!$E$258:$DK$383,Y16,0)))</f>
        <v/>
      </c>
      <c r="W16" s="33" t="str">
        <f>IF(VLOOKUP($W$2,Info!$E$258:$DK$383,Y16,0)="","",(VLOOKUP($W$2,Info!$E$258:$DK$383,Y16,0)))</f>
        <v/>
      </c>
      <c r="X16" s="33" t="str">
        <f>IF(VLOOKUP($X$2,Info!$E$258:$DK$383,Y16,0)="","",(VLOOKUP($X$2,Info!$E$258:$DK$383,Y16,0)))</f>
        <v/>
      </c>
      <c r="Y16" s="12">
        <v>15</v>
      </c>
    </row>
    <row r="17" spans="1:25" ht="12.75" customHeight="1" x14ac:dyDescent="0.2">
      <c r="A17" s="21"/>
      <c r="B17" s="38" t="s">
        <v>420</v>
      </c>
      <c r="C17" s="21" t="str">
        <f>HLOOKUP(Stats!$B$5,Info!$E$2:$DD$57,5,0)</f>
        <v>2/4</v>
      </c>
      <c r="D17" s="21" t="str">
        <f>IF(Stats!$B$6="","",HLOOKUP(Stats!$B$6,Info!$E$2:$DD$57,5,0))</f>
        <v>2/4</v>
      </c>
      <c r="E17" s="21"/>
      <c r="F17" s="21">
        <f>VLOOKUP(E17,Info!$HB$1:$HI$203,3)</f>
        <v>-15</v>
      </c>
      <c r="G17" s="21" t="s">
        <v>418</v>
      </c>
      <c r="H17" s="21">
        <f>Stats!$I$16</f>
        <v>4</v>
      </c>
      <c r="I17" s="21"/>
      <c r="J17" s="21"/>
      <c r="K17" s="76">
        <f t="shared" si="1"/>
        <v>-28.01</v>
      </c>
      <c r="M17" s="261"/>
      <c r="O17" s="12">
        <f t="shared" si="0"/>
        <v>0</v>
      </c>
      <c r="P17" s="245"/>
      <c r="Q17" s="254"/>
      <c r="R17" s="107" t="s">
        <v>421</v>
      </c>
      <c r="S17" s="107" t="s">
        <v>421</v>
      </c>
      <c r="T17" s="280" t="str">
        <f>HLOOKUP(Stats!$B$2,Info!$EO$70:$GZ$132,Info!$HA$84,0)</f>
        <v>Herb Lore</v>
      </c>
      <c r="U17" s="154"/>
      <c r="V17" s="33" t="str">
        <f>IF(VLOOKUP($V$2,Info!$E$258:$DK$383,Y17,0)="","",(VLOOKUP($V$2,Info!$E$258:$DK$383,Y17,0)))</f>
        <v/>
      </c>
      <c r="W17" s="33" t="str">
        <f>IF(VLOOKUP($W$2,Info!$E$258:$DK$383,Y17,0)="","",(VLOOKUP($W$2,Info!$E$258:$DK$383,Y17,0)))</f>
        <v/>
      </c>
      <c r="X17" s="33" t="str">
        <f>IF(VLOOKUP($X$2,Info!$E$258:$DK$383,Y17,0)="","",(VLOOKUP($X$2,Info!$E$258:$DK$383,Y17,0)))</f>
        <v/>
      </c>
      <c r="Y17" s="12">
        <v>16</v>
      </c>
    </row>
    <row r="18" spans="1:25" ht="12.75" customHeight="1" x14ac:dyDescent="0.2">
      <c r="A18" s="21"/>
      <c r="B18" s="38" t="s">
        <v>422</v>
      </c>
      <c r="C18" s="21" t="str">
        <f>HLOOKUP(Stats!$B$5,Info!$E$2:$DD$57,5,0)</f>
        <v>2/4</v>
      </c>
      <c r="D18" s="21" t="str">
        <f>IF(Stats!$B$6="","",HLOOKUP(Stats!$B$6,Info!$E$2:$DD$57,5,0))</f>
        <v>2/4</v>
      </c>
      <c r="E18" s="21"/>
      <c r="F18" s="21">
        <f>VLOOKUP(E18,Info!$HB$1:$HI$203,3)</f>
        <v>-15</v>
      </c>
      <c r="G18" s="21" t="s">
        <v>418</v>
      </c>
      <c r="H18" s="21">
        <f>Stats!$I$16</f>
        <v>4</v>
      </c>
      <c r="I18" s="21"/>
      <c r="J18" s="21"/>
      <c r="K18" s="76">
        <f t="shared" si="1"/>
        <v>-28.01</v>
      </c>
      <c r="M18" s="261"/>
      <c r="O18" s="12">
        <f t="shared" si="0"/>
        <v>0</v>
      </c>
      <c r="P18" s="245"/>
      <c r="Q18" s="254"/>
      <c r="R18" s="90" t="s">
        <v>401</v>
      </c>
      <c r="S18" s="90" t="s">
        <v>401</v>
      </c>
      <c r="T18" s="280" t="str">
        <f>HLOOKUP(Stats!$B$2,Info!$EO$70:$GZ$132,Info!$HA$85,0)</f>
        <v>Leather-crafting</v>
      </c>
      <c r="U18" s="154"/>
      <c r="V18" s="33" t="str">
        <f>IF(VLOOKUP($V$2,Info!$E$258:$DK$383,Y18,0)="","",(VLOOKUP($V$2,Info!$E$258:$DK$383,Y18,0)))</f>
        <v/>
      </c>
      <c r="W18" s="33" t="str">
        <f>IF(VLOOKUP($W$2,Info!$E$258:$DK$383,Y18,0)="","",(VLOOKUP($W$2,Info!$E$258:$DK$383,Y18,0)))</f>
        <v/>
      </c>
      <c r="X18" s="33" t="str">
        <f>IF(VLOOKUP($X$2,Info!$E$258:$DK$383,Y18,0)="","",(VLOOKUP($X$2,Info!$E$258:$DK$383,Y18,0)))</f>
        <v/>
      </c>
      <c r="Y18" s="12">
        <v>17</v>
      </c>
    </row>
    <row r="19" spans="1:25" ht="12.75" customHeight="1" x14ac:dyDescent="0.2">
      <c r="A19" s="21"/>
      <c r="B19" s="38" t="s">
        <v>423</v>
      </c>
      <c r="C19" s="21" t="str">
        <f>HLOOKUP(Stats!$B$5,Info!$E$2:$DD$57,5,0)</f>
        <v>2/4</v>
      </c>
      <c r="D19" s="21" t="str">
        <f>IF(Stats!$B$6="","",HLOOKUP(Stats!$B$6,Info!$E$2:$DD$57,5,0))</f>
        <v>2/4</v>
      </c>
      <c r="E19" s="21"/>
      <c r="F19" s="21">
        <f>VLOOKUP(E19,Info!$HB$1:$HI$203,3)</f>
        <v>-15</v>
      </c>
      <c r="G19" s="21" t="s">
        <v>418</v>
      </c>
      <c r="H19" s="21">
        <f>Stats!$I$16</f>
        <v>4</v>
      </c>
      <c r="I19" s="21"/>
      <c r="J19" s="21"/>
      <c r="K19" s="76">
        <f t="shared" si="1"/>
        <v>-28.01</v>
      </c>
      <c r="M19" s="261"/>
      <c r="O19" s="12">
        <f t="shared" si="0"/>
        <v>0</v>
      </c>
      <c r="P19" s="245"/>
      <c r="Q19" s="254"/>
      <c r="R19" s="23" t="str">
        <f>IF(HLOOKUP(Stats!$B$5,Info!$F$144:$DD$154,Info!$DF$145,0)="","",HLOOKUP(Stats!$B$5,Info!$F$144:$DD$154,Info!$DF$145,0))</f>
        <v>One Situational Awareness</v>
      </c>
      <c r="S19" s="23" t="str">
        <f>IF(Stats!$M$4="","",(IF(HLOOKUP(Stats!$B$6,Info!$F$144:$DD$154,Info!$DF$145,0)=0,"",HLOOKUP(Stats!$B$6,Info!$F$144:$DD$154,Info!$DF$145,0))))</f>
        <v>Duping</v>
      </c>
      <c r="T19" s="280" t="str">
        <f>HLOOKUP(Stats!$B$2,Info!$EO$70:$GZ$132,Info!$HA$86,0)</f>
        <v>All Crafts Skills</v>
      </c>
      <c r="U19" s="154"/>
      <c r="V19" s="33" t="str">
        <f>IF(VLOOKUP($V$2,Info!$E$258:$DK$383,Y19,0)="","",(VLOOKUP($V$2,Info!$E$258:$DK$383,Y19,0)))</f>
        <v/>
      </c>
      <c r="W19" s="33" t="str">
        <f>IF(VLOOKUP($W$2,Info!$E$258:$DK$383,Y19,0)="","",(VLOOKUP($W$2,Info!$E$258:$DK$383,Y19,0)))</f>
        <v/>
      </c>
      <c r="X19" s="33" t="str">
        <f>IF(VLOOKUP($X$2,Info!$E$258:$DK$383,Y19,0)="","",(VLOOKUP($X$2,Info!$E$258:$DK$383,Y19,0)))</f>
        <v/>
      </c>
      <c r="Y19" s="12">
        <v>18</v>
      </c>
    </row>
    <row r="20" spans="1:25" ht="12.75" customHeight="1" x14ac:dyDescent="0.2">
      <c r="A20" s="97"/>
      <c r="B20" s="155" t="s">
        <v>424</v>
      </c>
      <c r="C20" s="21" t="str">
        <f>HLOOKUP(Stats!$B$5,Info!$E$2:$DD$57,5,0)</f>
        <v>2/4</v>
      </c>
      <c r="D20" s="21" t="str">
        <f>IF(Stats!$B$6="","",HLOOKUP(Stats!$B$6,Info!$E$2:$DD$57,5,0))</f>
        <v>2/4</v>
      </c>
      <c r="E20" s="21"/>
      <c r="F20" s="21">
        <f>VLOOKUP(E20,Info!$HB$1:$HI$203,3)</f>
        <v>-15</v>
      </c>
      <c r="G20" s="21" t="s">
        <v>222</v>
      </c>
      <c r="H20" s="21">
        <f>Stats!$I$15</f>
        <v>1</v>
      </c>
      <c r="I20" s="21"/>
      <c r="J20" s="21"/>
      <c r="K20" s="76">
        <f t="shared" si="1"/>
        <v>-31.01</v>
      </c>
      <c r="M20" s="261"/>
      <c r="O20" s="12">
        <f t="shared" si="0"/>
        <v>0</v>
      </c>
      <c r="P20" s="245"/>
      <c r="Q20" s="254"/>
      <c r="R20" s="23" t="str">
        <f>IF(HLOOKUP(Stats!$B$5,Info!$F$144:$DD$154,Info!$DF$146,0)="","",HLOOKUP(Stats!$B$5,Info!$F$144:$DD$154,Info!$DF$146,0))</f>
        <v>Duping</v>
      </c>
      <c r="S20" s="23" t="str">
        <f>IF(Stats!$M$4="","",(IF(HLOOKUP(Stats!$B$6,Info!$F$144:$DD$154,Info!$DF$146,0)=0,"",HLOOKUP(Stats!$B$6,Info!$F$144:$DD$154,Info!$DF$146,0))))</f>
        <v>Lock Lore</v>
      </c>
      <c r="T20" s="280" t="str">
        <f>HLOOKUP(Stats!$B$2,Info!$EO$70:$GZ$132,Info!$HA$87,0)</f>
        <v>Region Lore (cavernous region)</v>
      </c>
      <c r="U20" s="154"/>
      <c r="V20" s="33" t="str">
        <f>IF(VLOOKUP($V$2,Info!$E$258:$DK$383,Y20,0)="","",(VLOOKUP($V$2,Info!$E$258:$DK$383,Y20,0)))</f>
        <v/>
      </c>
      <c r="W20" s="33" t="str">
        <f>IF(VLOOKUP($W$2,Info!$E$258:$DK$383,Y20,0)="","",(VLOOKUP($W$2,Info!$E$258:$DK$383,Y20,0)))</f>
        <v/>
      </c>
      <c r="X20" s="33" t="str">
        <f>IF(VLOOKUP($X$2,Info!$E$258:$DK$383,Y20,0)="","",(VLOOKUP($X$2,Info!$E$258:$DK$383,Y20,0)))</f>
        <v/>
      </c>
      <c r="Y20" s="12">
        <v>19</v>
      </c>
    </row>
    <row r="21" spans="1:25" ht="12.75" customHeight="1" x14ac:dyDescent="0.2">
      <c r="A21" s="116" t="s">
        <v>425</v>
      </c>
      <c r="B21" s="83"/>
      <c r="C21" s="100" t="str">
        <f>HLOOKUP(Stats!$B$5,Info!$E$2:$DD$57,6,0)</f>
        <v>2/5</v>
      </c>
      <c r="D21" s="100" t="str">
        <f>IF(Stats!$B$6="","",HLOOKUP(Stats!$B$6,Info!$E$2:$DD$57,6,0))</f>
        <v>2/5</v>
      </c>
      <c r="E21" s="153"/>
      <c r="F21" s="153">
        <f>VLOOKUP(E21,Info!$HB$1:$HI$203,2)</f>
        <v>-15</v>
      </c>
      <c r="G21" s="153" t="s">
        <v>426</v>
      </c>
      <c r="H21" s="153">
        <f>(Stats!$I$21+Stats!$I$22)</f>
        <v>8</v>
      </c>
      <c r="I21" s="171">
        <f>IF(Stats!$M$4="",HLOOKUP(Stats!$B$5,Info!$F$59:$DD$114,Info!$DF$7,0),((HLOOKUP(Stats!$B$5,Info!$F$59:$DD$114,Info!$DF$7,0)+HLOOKUP(Stats!$B$6,Info!$F$59:$DD$114,Info!$DF$7,0))/2-0.01))</f>
        <v>-0.01</v>
      </c>
      <c r="J21" s="153"/>
      <c r="K21" s="171">
        <f>F21+H21+I21+J21</f>
        <v>-7.01</v>
      </c>
      <c r="M21" s="261"/>
      <c r="O21" s="12">
        <f t="shared" si="0"/>
        <v>0</v>
      </c>
      <c r="P21" s="245"/>
      <c r="Q21" s="254"/>
      <c r="R21" s="23" t="str">
        <f>IF(HLOOKUP(Stats!$B$5,Info!$F$144:$DD$154,Info!$DF$147,0)="","",HLOOKUP(Stats!$B$5,Info!$F$144:$DD$154,Info!$DF$147,0))</f>
        <v>Subdual</v>
      </c>
      <c r="S21" s="23" t="str">
        <f>IF(Stats!$M$4="","",(IF(HLOOKUP(Stats!$B$6,Info!$F$144:$DD$154,Info!$DF$147,0)=0,"",HLOOKUP(Stats!$B$6,Info!$F$144:$DD$154,Info!$DF$147,0))))</f>
        <v>One Situational Awareness</v>
      </c>
      <c r="T21" s="280" t="str">
        <f>HLOOKUP(Stats!$B$2,Info!$EO$70:$GZ$132,Info!$HA$88,0)</f>
        <v>Trapping</v>
      </c>
      <c r="U21" s="154"/>
      <c r="V21" s="33" t="str">
        <f>IF(VLOOKUP($V$2,Info!$E$258:$DK$383,Y21,0)="","",(VLOOKUP($V$2,Info!$E$258:$DK$383,Y21,0)))</f>
        <v/>
      </c>
      <c r="W21" s="33" t="str">
        <f>IF(VLOOKUP($W$2,Info!$E$258:$DK$383,Y21,0)="","",(VLOOKUP($W$2,Info!$E$258:$DK$383,Y21,0)))</f>
        <v/>
      </c>
      <c r="X21" s="33" t="str">
        <f>IF(VLOOKUP($X$2,Info!$E$258:$DK$383,Y21,0)="","",(VLOOKUP($X$2,Info!$E$258:$DK$383,Y21,0)))</f>
        <v/>
      </c>
      <c r="Y21" s="12">
        <v>20</v>
      </c>
    </row>
    <row r="22" spans="1:25" ht="12.75" customHeight="1" x14ac:dyDescent="0.2">
      <c r="A22" s="59"/>
      <c r="B22" s="138" t="s">
        <v>427</v>
      </c>
      <c r="C22" s="21" t="str">
        <f>HLOOKUP(Stats!$B$5,Info!$E$2:$DD$57,6,0)</f>
        <v>2/5</v>
      </c>
      <c r="D22" s="21" t="str">
        <f>IF(Stats!$B$6="","",HLOOKUP(Stats!$B$6,Info!$E$2:$DD$57,6,0))</f>
        <v>2/5</v>
      </c>
      <c r="E22" s="21"/>
      <c r="F22" s="21">
        <f>VLOOKUP(E22,Info!$HB$1:$HI$203,3)</f>
        <v>-15</v>
      </c>
      <c r="G22" s="21" t="s">
        <v>428</v>
      </c>
      <c r="H22" s="21">
        <f>Stats!$I$20</f>
        <v>-6</v>
      </c>
      <c r="I22" s="21"/>
      <c r="J22" s="21"/>
      <c r="K22" s="76">
        <f>F22+H22+I22+J22+$K$21</f>
        <v>-28.009999999999998</v>
      </c>
      <c r="M22" s="261"/>
      <c r="O22" s="12">
        <f t="shared" si="0"/>
        <v>0</v>
      </c>
      <c r="P22" s="245"/>
      <c r="Q22" s="254"/>
      <c r="R22" s="23" t="str">
        <f>IF(HLOOKUP(Stats!$B$5,Info!$F$144:$DD$154,Info!$DF$148,0)="","",HLOOKUP(Stats!$B$5,Info!$F$144:$DD$154,Info!$DF$148,0))</f>
        <v>Operating Equipment</v>
      </c>
      <c r="S22" s="23" t="str">
        <f>IF(Stats!$M$4="","",(IF(HLOOKUP(Stats!$B$6,Info!$F$144:$DD$154,Info!$DF$148,0)=0,"",HLOOKUP(Stats!$B$6,Info!$F$144:$DD$154,Info!$DF$148,0))))</f>
        <v>either Boxing or Wrestling</v>
      </c>
      <c r="T22" s="280" t="str">
        <f>HLOOKUP(Stats!$B$2,Info!$EO$70:$GZ$132,Info!$HA$89,0)</f>
        <v>Any Outdoor GROUP skill</v>
      </c>
      <c r="U22" s="154" t="s">
        <v>430</v>
      </c>
      <c r="V22" s="33" t="str">
        <f>IF(VLOOKUP($V$2,Info!$E$258:$DK$383,Y22,0)="","",(VLOOKUP($V$2,Info!$E$258:$DK$383,Y22,0)))</f>
        <v>Subterfuge – Stealth CAT 4</v>
      </c>
      <c r="W22" s="33" t="str">
        <f>IF(VLOOKUP($W$2,Info!$E$258:$DK$383,Y22,0)="","",(VLOOKUP($W$2,Info!$E$258:$DK$383,Y22,0)))</f>
        <v>Communications CAT 1</v>
      </c>
      <c r="X22" s="33" t="str">
        <f>IF(VLOOKUP($X$2,Info!$E$258:$DK$383,Y22,0)="","",(VLOOKUP($X$2,Info!$E$258:$DK$383,Y22,0)))</f>
        <v>Subterfuge – Mechanics CAT 1</v>
      </c>
      <c r="Y22" s="12">
        <v>21</v>
      </c>
    </row>
    <row r="23" spans="1:25" ht="12.75" customHeight="1" x14ac:dyDescent="0.2">
      <c r="A23" s="21"/>
      <c r="B23" s="38" t="s">
        <v>429</v>
      </c>
      <c r="C23" s="21" t="str">
        <f>HLOOKUP(Stats!$B$5,Info!$E$2:$DD$57,6,0)</f>
        <v>2/5</v>
      </c>
      <c r="D23" s="21" t="str">
        <f>IF(Stats!$B$6="","",HLOOKUP(Stats!$B$6,Info!$E$2:$DD$57,6,0))</f>
        <v>2/5</v>
      </c>
      <c r="E23" s="21"/>
      <c r="F23" s="21">
        <f>VLOOKUP(E23,Info!$HB$1:$HI$203,3)</f>
        <v>-15</v>
      </c>
      <c r="G23" s="21" t="s">
        <v>408</v>
      </c>
      <c r="H23" s="21">
        <f>Stats!$I$14</f>
        <v>13</v>
      </c>
      <c r="I23" s="21"/>
      <c r="J23" s="21"/>
      <c r="K23" s="76">
        <f>F23+H23+I23+J23+$K$21</f>
        <v>-9.01</v>
      </c>
      <c r="M23" s="261"/>
      <c r="O23" s="12">
        <f t="shared" si="0"/>
        <v>0</v>
      </c>
      <c r="P23" s="245"/>
      <c r="Q23" s="254"/>
      <c r="R23" s="23" t="str">
        <f>IF(HLOOKUP(Stats!$B$5,Info!$F$144:$DD$154,Info!$DF$149,0)="","",HLOOKUP(Stats!$B$5,Info!$F$144:$DD$154,Info!$DF$149,0))</f>
        <v/>
      </c>
      <c r="S23" s="23" t="str">
        <f>IF(Stats!$M$4="","",(IF(HLOOKUP(Stats!$B$6,Info!$F$144:$DD$154,Info!$DF$149,0)=0,"",HLOOKUP(Stats!$B$6,Info!$F$144:$DD$154,Info!$DF$149,0))))</f>
        <v/>
      </c>
      <c r="T23" s="280" t="str">
        <f>HLOOKUP(Stats!$B$2,Info!$EO$70:$GZ$132,Info!$HA$90,0)</f>
        <v>Music</v>
      </c>
      <c r="U23" s="154"/>
      <c r="V23" s="33" t="str">
        <f>IF(VLOOKUP($V$2,Info!$E$258:$DK$383,Y23,0)="","",(VLOOKUP($V$2,Info!$E$258:$DK$383,Y23,0)))</f>
        <v>Picking Pockets 2</v>
      </c>
      <c r="W23" s="33" t="str">
        <f>IF(VLOOKUP($W$2,Info!$E$258:$DK$383,Y23,0)="","",(VLOOKUP($W$2,Info!$E$258:$DK$383,Y23,0)))</f>
        <v>Signaling 1</v>
      </c>
      <c r="X23" s="33" t="str">
        <f>IF(VLOOKUP($X$2,Info!$E$258:$DK$383,Y23,0)="","",(VLOOKUP($X$2,Info!$E$258:$DK$383,Y23,0)))</f>
        <v>Disguise 1</v>
      </c>
      <c r="Y23" s="12">
        <v>22</v>
      </c>
    </row>
    <row r="24" spans="1:25" ht="12.75" customHeight="1" x14ac:dyDescent="0.2">
      <c r="A24" s="21"/>
      <c r="B24" s="38" t="s">
        <v>431</v>
      </c>
      <c r="C24" s="21" t="str">
        <f>HLOOKUP(Stats!$B$5,Info!$E$2:$DD$57,6,0)</f>
        <v>2/5</v>
      </c>
      <c r="D24" s="21" t="str">
        <f>IF(Stats!$B$6="","",HLOOKUP(Stats!$B$6,Info!$E$2:$DD$57,6,0))</f>
        <v>2/5</v>
      </c>
      <c r="E24" s="21"/>
      <c r="F24" s="21">
        <f>VLOOKUP(E24,Info!$HB$1:$HI$203,3)</f>
        <v>-15</v>
      </c>
      <c r="G24" s="21" t="s">
        <v>432</v>
      </c>
      <c r="H24" s="21">
        <f>Stats!$I$17</f>
        <v>4</v>
      </c>
      <c r="I24" s="21"/>
      <c r="J24" s="21"/>
      <c r="K24" s="76">
        <f>F24+H24+I24+J24+$K$21</f>
        <v>-18.009999999999998</v>
      </c>
      <c r="M24" s="261"/>
      <c r="O24" s="12">
        <f t="shared" si="0"/>
        <v>0</v>
      </c>
      <c r="P24" s="245"/>
      <c r="Q24" s="254"/>
      <c r="R24" s="23" t="str">
        <f>IF(HLOOKUP(Stats!$B$5,Info!$F$144:$DD$154,Info!$DF$150,0)="","",HLOOKUP(Stats!$B$5,Info!$F$144:$DD$154,Info!$DF$150,0))</f>
        <v/>
      </c>
      <c r="S24" s="23" t="str">
        <f>IF(Stats!$M$4="","",(IF(HLOOKUP(Stats!$B$6,Info!$F$144:$DD$154,Info!$DF$150,0)=0,"",HLOOKUP(Stats!$B$6,Info!$F$144:$DD$154,Info!$DF$150,0))))</f>
        <v/>
      </c>
      <c r="T24" s="280" t="str">
        <f>IF(HLOOKUP(Stats!$B$2,Info!$EO$70:$GZ$132,Info!$HA$91,0)="","",HLOOKUP(Stats!$B$2,Info!$EO$70:$GZ$132,Info!$HA$91,0))</f>
        <v>Play Instrument</v>
      </c>
      <c r="U24" s="154"/>
      <c r="V24" s="33" t="str">
        <f>IF(VLOOKUP($V$2,Info!$E$258:$DK$383,Y24,0)="","",(VLOOKUP($V$2,Info!$E$258:$DK$383,Y24,0)))</f>
        <v>choice of up to two skills 2 (total)</v>
      </c>
      <c r="W24" s="33" t="str">
        <f>IF(VLOOKUP($W$2,Info!$E$258:$DK$383,Y24,0)="","",(VLOOKUP($W$2,Info!$E$258:$DK$383,Y24,0)))</f>
        <v>Technical/Trade – Professional CAT 0</v>
      </c>
      <c r="X24" s="33" t="str">
        <f>IF(VLOOKUP($X$2,Info!$E$258:$DK$383,Y24,0)="","",(VLOOKUP($X$2,Info!$E$258:$DK$383,Y24,0)))</f>
        <v>Technical/Trade – Vocational CAT 0</v>
      </c>
      <c r="Y24" s="12">
        <v>23</v>
      </c>
    </row>
    <row r="25" spans="1:25" ht="12.75" customHeight="1" x14ac:dyDescent="0.2">
      <c r="A25" s="97"/>
      <c r="B25" s="155" t="s">
        <v>433</v>
      </c>
      <c r="C25" s="21" t="str">
        <f>HLOOKUP(Stats!$B$5,Info!$E$2:$DD$57,6,0)</f>
        <v>2/5</v>
      </c>
      <c r="D25" s="21" t="str">
        <f>IF(Stats!$B$6="","",HLOOKUP(Stats!$B$6,Info!$E$2:$DD$57,6,0))</f>
        <v>2/5</v>
      </c>
      <c r="E25" s="21"/>
      <c r="F25" s="21">
        <f>VLOOKUP(E25,Info!$HB$1:$HI$203,3)</f>
        <v>-15</v>
      </c>
      <c r="G25" s="21" t="s">
        <v>408</v>
      </c>
      <c r="H25" s="21">
        <f>Stats!$I$14</f>
        <v>13</v>
      </c>
      <c r="I25" s="21"/>
      <c r="J25" s="21"/>
      <c r="K25" s="76">
        <f>F25+H25+I25+J25+$K$21</f>
        <v>-9.01</v>
      </c>
      <c r="M25" s="261"/>
      <c r="O25" s="12">
        <f t="shared" si="0"/>
        <v>0</v>
      </c>
      <c r="P25" s="245"/>
      <c r="Q25" s="254"/>
      <c r="R25" s="23" t="str">
        <f>IF(HLOOKUP(Stats!$B$5,Info!$F$144:$DD$154,Info!$DF$151,0)="","",HLOOKUP(Stats!$B$5,Info!$F$144:$DD$154,Info!$DF$151,0))</f>
        <v/>
      </c>
      <c r="S25" s="23" t="str">
        <f>IF(Stats!$M$4="","",(IF(HLOOKUP(Stats!$B$6,Info!$F$144:$DD$154,Info!$DF$151,0)=0,"",HLOOKUP(Stats!$B$6,Info!$F$144:$DD$154,Info!$DF$151,0))))</f>
        <v/>
      </c>
      <c r="T25" s="280" t="str">
        <f>IF(HLOOKUP(Stats!$B$2,Info!$EO$70:$GZ$132,Info!$HA$92,0)="","",HLOOKUP(Stats!$B$2,Info!$EO$70:$GZ$132,Info!$HA$92,0))</f>
        <v>Singing</v>
      </c>
      <c r="U25" s="154"/>
      <c r="V25" s="33" t="str">
        <f>IF(VLOOKUP($V$2,Info!$E$258:$DK$383,Y25,0)="","",(VLOOKUP($V$2,Info!$E$258:$DK$383,Y25,0)))</f>
        <v>Urban CAT 3</v>
      </c>
      <c r="W25" s="33" t="str">
        <f>IF(VLOOKUP($W$2,Info!$E$258:$DK$383,Y25,0)="","",(VLOOKUP($W$2,Info!$E$258:$DK$383,Y25,0)))</f>
        <v>Mechanition 1</v>
      </c>
      <c r="X25" s="33" t="str">
        <f>IF(VLOOKUP($X$2,Info!$E$258:$DK$383,Y25,0)="","",(VLOOKUP($X$2,Info!$E$258:$DK$383,Y25,0)))</f>
        <v>Begging 2</v>
      </c>
      <c r="Y25" s="12">
        <v>24</v>
      </c>
    </row>
    <row r="26" spans="1:25" ht="12.75" customHeight="1" x14ac:dyDescent="0.2">
      <c r="A26" s="116" t="s">
        <v>434</v>
      </c>
      <c r="B26" s="83"/>
      <c r="C26" s="100" t="str">
        <f>HLOOKUP(Stats!$B$5,Info!$E$2:$DD$57,7,0)</f>
        <v>3/6</v>
      </c>
      <c r="D26" s="100" t="str">
        <f>IF(Stats!$B$6="","",HLOOKUP(Stats!$B$6,Info!$E$2:$DD$57,7,0))</f>
        <v>2/6</v>
      </c>
      <c r="E26" s="153"/>
      <c r="F26" s="153">
        <f>VLOOKUP(E26,Info!$HB$1:$HI$203,2)</f>
        <v>-15</v>
      </c>
      <c r="G26" s="153" t="s">
        <v>435</v>
      </c>
      <c r="H26" s="153">
        <f>Stats!$I$18+Stats!$I$13</f>
        <v>-11</v>
      </c>
      <c r="I26" s="171">
        <f>IF(Stats!$M$4="",HLOOKUP(Stats!$B$5,Info!$F$59:$DD$114,Info!$DF$8,0),((HLOOKUP(Stats!$B$5,Info!$F$59:$DD$114,Info!$DF$8,0)+HLOOKUP(Stats!$B$6,Info!$F$59:$DD$114,Info!$DF$8,0))/2-0.01))</f>
        <v>-0.01</v>
      </c>
      <c r="J26" s="153"/>
      <c r="K26" s="171">
        <f>F26+H26+I26+J26</f>
        <v>-26.01</v>
      </c>
      <c r="M26" s="261"/>
      <c r="O26" s="12">
        <f t="shared" si="0"/>
        <v>0</v>
      </c>
      <c r="P26" s="245"/>
      <c r="Q26" s="254">
        <f>HLOOKUP(Stats!$B$2,Info!$EN$3:$GZ$48,Info!$HA$8,0)</f>
        <v>1</v>
      </c>
      <c r="R26" s="23" t="str">
        <f>IF(HLOOKUP(Stats!$B$5,Info!$F$144:$DD$154,Info!$DF$152,0)="","",HLOOKUP(Stats!$B$5,Info!$F$144:$DD$154,Info!$DF$152,0))</f>
        <v/>
      </c>
      <c r="S26" s="23" t="str">
        <f>IF(Stats!$M$4="","",(IF(HLOOKUP(Stats!$B$6,Info!$F$144:$DD$154,Info!$DF$152,0)=0,"",HLOOKUP(Stats!$B$6,Info!$F$144:$DD$154,Info!$DF$152,0))))</f>
        <v/>
      </c>
      <c r="T26" s="280" t="str">
        <f>IF(HLOOKUP(Stats!$B$2,Info!$EO$70:$GZ$132,Info!$HA$93,0)="","",HLOOKUP(Stats!$B$2,Info!$EO$70:$GZ$132,Info!$HA$93,0))</f>
        <v>Nightvision 60 feet</v>
      </c>
      <c r="U26" s="154"/>
      <c r="V26" s="33" t="str">
        <f>IF(VLOOKUP($V$2,Info!$E$258:$DK$383,Y26,0)="","",(VLOOKUP($V$2,Info!$E$258:$DK$383,Y26,0)))</f>
        <v>choice of up to 2 skills 3 (total)</v>
      </c>
      <c r="W26" s="33" t="str">
        <f>IF(VLOOKUP($W$2,Info!$E$258:$DK$383,Y26,0)="","",(VLOOKUP($W$2,Info!$E$258:$DK$383,Y26,0)))</f>
        <v>Military Organisation 1</v>
      </c>
      <c r="X26" s="33" t="str">
        <f>IF(VLOOKUP($X$2,Info!$E$258:$DK$383,Y26,0)="","",(VLOOKUP($X$2,Info!$E$258:$DK$383,Y26,0)))</f>
        <v>Urban CAT 3</v>
      </c>
      <c r="Y26" s="12">
        <v>25</v>
      </c>
    </row>
    <row r="27" spans="1:25" ht="12.75" customHeight="1" x14ac:dyDescent="0.2">
      <c r="A27" s="59"/>
      <c r="B27" s="138" t="s">
        <v>436</v>
      </c>
      <c r="C27" s="21" t="str">
        <f>HLOOKUP(Stats!$B$5,Info!$E$2:$DD$57,7,0)</f>
        <v>3/6</v>
      </c>
      <c r="D27" s="21" t="str">
        <f>IF(Stats!$B$6="","",HLOOKUP(Stats!$B$6,Info!$E$2:$DD$57,7,0))</f>
        <v>2/6</v>
      </c>
      <c r="E27" s="21"/>
      <c r="F27" s="21">
        <f>VLOOKUP(E27,Info!$HB$1:$HI$203,3)</f>
        <v>-15</v>
      </c>
      <c r="G27" s="21" t="s">
        <v>408</v>
      </c>
      <c r="H27" s="21">
        <f>Stats!$I$14</f>
        <v>13</v>
      </c>
      <c r="I27" s="21"/>
      <c r="J27" s="21"/>
      <c r="K27" s="76">
        <f>F27+H27+I27+J27+$K$26</f>
        <v>-28.01</v>
      </c>
      <c r="M27" s="261"/>
      <c r="O27" s="12">
        <f t="shared" si="0"/>
        <v>0</v>
      </c>
      <c r="P27" s="245"/>
      <c r="Q27" s="254"/>
      <c r="R27" s="23" t="str">
        <f>IF(HLOOKUP(Stats!$B$5,Info!$F$144:$DD$154,Info!$DF$153,0)="","",HLOOKUP(Stats!$B$5,Info!$F$144:$DD$154,Info!$DF$153,0))</f>
        <v/>
      </c>
      <c r="S27" s="23" t="str">
        <f>IF(Stats!$M$4="","",(IF(HLOOKUP(Stats!$B$6,Info!$F$144:$DD$154,Info!$DF$153,0)=0,"",HLOOKUP(Stats!$B$6,Info!$F$144:$DD$154,Info!$DF$153,0))))</f>
        <v/>
      </c>
      <c r="T27" s="280" t="str">
        <f>IF(HLOOKUP(Stats!$B$2,Info!$EO$70:$GZ$132,Info!$HA$94,0)="","",HLOOKUP(Stats!$B$2,Info!$EO$70:$GZ$132,Info!$HA$94,0))</f>
        <v/>
      </c>
      <c r="U27" s="154"/>
      <c r="V27" s="33" t="str">
        <f>IF(VLOOKUP($V$2,Info!$E$258:$DK$383,Y27,0)="","",(VLOOKUP($V$2,Info!$E$258:$DK$383,Y27,0)))</f>
        <v>Athletic – Gymnastic CAT 1</v>
      </c>
      <c r="W27" s="33" t="str">
        <f>IF(VLOOKUP($W$2,Info!$E$258:$DK$383,Y27,0)="","",(VLOOKUP($W$2,Info!$E$258:$DK$383,Y27,0)))</f>
        <v>Mining 1</v>
      </c>
      <c r="X27" s="33" t="str">
        <f>IF(VLOOKUP($X$2,Info!$E$258:$DK$383,Y27,0)="","",(VLOOKUP($X$2,Info!$E$258:$DK$383,Y27,0)))</f>
        <v>Contacting 1</v>
      </c>
      <c r="Y27" s="12">
        <v>26</v>
      </c>
    </row>
    <row r="28" spans="1:25" ht="12.75" customHeight="1" x14ac:dyDescent="0.2">
      <c r="A28" s="21"/>
      <c r="B28" s="38" t="s">
        <v>437</v>
      </c>
      <c r="C28" s="21" t="str">
        <f>HLOOKUP(Stats!$B$5,Info!$E$2:$DD$57,7,0)</f>
        <v>3/6</v>
      </c>
      <c r="D28" s="21" t="str">
        <f>IF(Stats!$B$6="","",HLOOKUP(Stats!$B$6,Info!$E$2:$DD$57,7,0))</f>
        <v>2/6</v>
      </c>
      <c r="E28" s="21"/>
      <c r="F28" s="21">
        <f>VLOOKUP(E28,Info!$HB$1:$HI$203,3)</f>
        <v>-15</v>
      </c>
      <c r="G28" s="21" t="s">
        <v>408</v>
      </c>
      <c r="H28" s="21">
        <f>Stats!$I$14</f>
        <v>13</v>
      </c>
      <c r="I28" s="21"/>
      <c r="J28" s="21"/>
      <c r="K28" s="76">
        <f>F28+H28+I28+J28+$K$26</f>
        <v>-28.01</v>
      </c>
      <c r="M28" s="261"/>
      <c r="O28" s="12">
        <f t="shared" si="0"/>
        <v>0</v>
      </c>
      <c r="P28" s="245"/>
      <c r="Q28" s="254"/>
      <c r="R28" s="23" t="str">
        <f>IF(HLOOKUP(Stats!$B$5,Info!$F$144:$DD$154,Info!$DF$154,0)="","",HLOOKUP(Stats!$B$5,Info!$F$144:$DD$154,Info!$DF$154,0))</f>
        <v/>
      </c>
      <c r="S28" s="23" t="str">
        <f>IF(Stats!$M$4="","",(IF(HLOOKUP(Stats!$B$6,Info!$F$144:$DD$154,Info!$DF$154,0)=0,"",HLOOKUP(Stats!$B$6,Info!$F$144:$DD$154,Info!$DF$154,0))))</f>
        <v/>
      </c>
      <c r="T28" s="280" t="str">
        <f>IF(HLOOKUP(Stats!$B$2,Info!$EO$70:$GZ$132,Info!$HA$95,0)="","",HLOOKUP(Stats!$B$2,Info!$EO$70:$GZ$132,Info!$HA$95,0))</f>
        <v/>
      </c>
      <c r="U28" s="154"/>
      <c r="V28" s="33" t="str">
        <f>IF(VLOOKUP($V$2,Info!$E$258:$DK$383,Y28,0)="","",(VLOOKUP($V$2,Info!$E$258:$DK$383,Y28,0)))</f>
        <v>choice of one skill 1</v>
      </c>
      <c r="W28" s="33" t="str">
        <f>IF(VLOOKUP($W$2,Info!$E$258:$DK$383,Y28,0)="","",(VLOOKUP($W$2,Info!$E$258:$DK$383,Y28,0)))</f>
        <v>Technical/Trade – Vocational CAT 0</v>
      </c>
      <c r="X28" s="33" t="str">
        <f>IF(VLOOKUP($X$2,Info!$E$258:$DK$383,Y28,0)="","",(VLOOKUP($X$2,Info!$E$258:$DK$383,Y28,0)))</f>
        <v>Mingling 1</v>
      </c>
      <c r="Y28" s="12">
        <v>27</v>
      </c>
    </row>
    <row r="29" spans="1:25" ht="12.75" customHeight="1" x14ac:dyDescent="0.2">
      <c r="A29" s="21"/>
      <c r="B29" s="38" t="s">
        <v>438</v>
      </c>
      <c r="C29" s="21" t="str">
        <f>HLOOKUP(Stats!$B$5,Info!$E$2:$DD$57,7,0)</f>
        <v>3/6</v>
      </c>
      <c r="D29" s="21" t="str">
        <f>IF(Stats!$B$6="","",HLOOKUP(Stats!$B$6,Info!$E$2:$DD$57,7,0))</f>
        <v>2/6</v>
      </c>
      <c r="E29" s="21"/>
      <c r="F29" s="21">
        <f>VLOOKUP(E29,Info!$HB$1:$HI$203,3)</f>
        <v>-15</v>
      </c>
      <c r="G29" s="21" t="s">
        <v>403</v>
      </c>
      <c r="H29" s="21">
        <f>Stats!$I$18</f>
        <v>-5</v>
      </c>
      <c r="I29" s="21"/>
      <c r="J29" s="21"/>
      <c r="K29" s="76">
        <f>F29+H29+I29+J29+$K$26</f>
        <v>-46.010000000000005</v>
      </c>
      <c r="M29" s="261"/>
      <c r="O29" s="12">
        <f t="shared" si="0"/>
        <v>0</v>
      </c>
      <c r="P29" s="245"/>
      <c r="Q29" s="254"/>
      <c r="R29" s="23"/>
      <c r="S29" s="23"/>
      <c r="T29" s="280" t="str">
        <f>IF(HLOOKUP(Stats!$B$2,Info!$EO$70:$GZ$132,Info!$HA$96,0)="","",HLOOKUP(Stats!$B$2,Info!$EO$70:$GZ$132,Info!$HA$96,0))</f>
        <v/>
      </c>
      <c r="U29" s="154"/>
      <c r="V29" s="33" t="str">
        <f>IF(VLOOKUP($V$2,Info!$E$258:$DK$383,Y29,0)="","",(VLOOKUP($V$2,Info!$E$258:$DK$383,Y29,0)))</f>
        <v>Awareness – Perceptions CAT 0</v>
      </c>
      <c r="W29" s="33" t="str">
        <f>IF(VLOOKUP($W$2,Info!$E$258:$DK$383,Y29,0)="","",(VLOOKUP($W$2,Info!$E$258:$DK$383,Y29,0)))</f>
        <v>Siege Engineering 3</v>
      </c>
      <c r="X29" s="33" t="str">
        <f>IF(VLOOKUP($X$2,Info!$E$258:$DK$383,Y29,0)="","",(VLOOKUP($X$2,Info!$E$258:$DK$383,Y29,0)))</f>
        <v>Scrounging 1</v>
      </c>
      <c r="Y29" s="12">
        <v>28</v>
      </c>
    </row>
    <row r="30" spans="1:25" ht="12.75" customHeight="1" x14ac:dyDescent="0.2">
      <c r="A30" s="21"/>
      <c r="B30" s="38" t="s">
        <v>439</v>
      </c>
      <c r="C30" s="21" t="str">
        <f>HLOOKUP(Stats!$B$5,Info!$E$2:$DD$57,7,0)</f>
        <v>3/6</v>
      </c>
      <c r="D30" s="21" t="str">
        <f>IF(Stats!$B$6="","",HLOOKUP(Stats!$B$6,Info!$E$2:$DD$57,7,0))</f>
        <v>2/6</v>
      </c>
      <c r="E30" s="21"/>
      <c r="F30" s="21">
        <f>VLOOKUP(E30,Info!$HB$1:$HI$203,3)</f>
        <v>-15</v>
      </c>
      <c r="G30" s="21" t="s">
        <v>403</v>
      </c>
      <c r="H30" s="21">
        <f>Stats!$I$18</f>
        <v>-5</v>
      </c>
      <c r="I30" s="21"/>
      <c r="J30" s="21"/>
      <c r="K30" s="76">
        <f>F30+H30+I30+J30+$K$26</f>
        <v>-46.010000000000005</v>
      </c>
      <c r="M30" s="261"/>
      <c r="O30" s="12">
        <f t="shared" si="0"/>
        <v>0</v>
      </c>
      <c r="P30" s="245"/>
      <c r="Q30" s="254"/>
      <c r="R30" s="23"/>
      <c r="S30" s="23"/>
      <c r="T30" s="280" t="str">
        <f>IF(HLOOKUP(Stats!$B$2,Info!$EO$70:$GZ$132,Info!$HA$97,0)="","",HLOOKUP(Stats!$B$2,Info!$EO$70:$GZ$132,Info!$HA$97,0))</f>
        <v/>
      </c>
      <c r="U30" s="154"/>
      <c r="V30" s="33" t="str">
        <f>IF(VLOOKUP($V$2,Info!$E$258:$DK$383,Y30,0)="","",(VLOOKUP($V$2,Info!$E$258:$DK$383,Y30,0)))</f>
        <v>Alertness 2</v>
      </c>
      <c r="W30" s="33" t="str">
        <f>IF(VLOOKUP($W$2,Info!$E$258:$DK$383,Y30,0)="","",(VLOOKUP($W$2,Info!$E$258:$DK$383,Y30,0)))</f>
        <v>Weapon – Missile Artillery CAT 2</v>
      </c>
      <c r="X30" s="33" t="str">
        <f>IF(VLOOKUP($X$2,Info!$E$258:$DK$383,Y30,0)="","",(VLOOKUP($X$2,Info!$E$258:$DK$383,Y30,0)))</f>
        <v>Lore – General CAT 2</v>
      </c>
      <c r="Y30" s="12">
        <v>29</v>
      </c>
    </row>
    <row r="31" spans="1:25" ht="12.75" customHeight="1" x14ac:dyDescent="0.2">
      <c r="A31" s="97"/>
      <c r="B31" s="155" t="s">
        <v>440</v>
      </c>
      <c r="C31" s="21" t="str">
        <f>HLOOKUP(Stats!$B$5,Info!$E$2:$DD$57,7,0)</f>
        <v>3/6</v>
      </c>
      <c r="D31" s="21" t="str">
        <f>IF(Stats!$B$6="","",HLOOKUP(Stats!$B$6,Info!$E$2:$DD$57,7,0))</f>
        <v>2/6</v>
      </c>
      <c r="E31" s="21"/>
      <c r="F31" s="21">
        <f>VLOOKUP(E31,Info!$HB$1:$HI$203,3)</f>
        <v>-15</v>
      </c>
      <c r="G31" s="21" t="s">
        <v>403</v>
      </c>
      <c r="H31" s="21">
        <f>Stats!$I$18</f>
        <v>-5</v>
      </c>
      <c r="I31" s="21"/>
      <c r="J31" s="21"/>
      <c r="K31" s="76">
        <f>F31+H31+I31+J31+$K$26</f>
        <v>-46.010000000000005</v>
      </c>
      <c r="M31" s="261"/>
      <c r="O31" s="12">
        <f t="shared" si="0"/>
        <v>0</v>
      </c>
      <c r="P31" s="245"/>
      <c r="Q31" s="254"/>
      <c r="R31" s="156"/>
      <c r="S31" s="156"/>
      <c r="T31" s="280" t="str">
        <f>IF(HLOOKUP(Stats!$B$2,Info!$EO$70:$GZ$132,Info!$HA$98,0)="","",HLOOKUP(Stats!$B$2,Info!$EO$70:$GZ$132,Info!$HA$98,0))</f>
        <v/>
      </c>
      <c r="U31" s="154"/>
      <c r="V31" s="33" t="str">
        <f>IF(VLOOKUP($V$2,Info!$E$258:$DK$383,Y31,0)="","",(VLOOKUP($V$2,Info!$E$258:$DK$383,Y31,0)))</f>
        <v>Awareness – Searching CAT 1</v>
      </c>
      <c r="W31" s="33" t="str">
        <f>IF(VLOOKUP($W$2,Info!$E$258:$DK$383,Y31,0)="","",(VLOOKUP($W$2,Info!$E$258:$DK$383,Y31,0)))</f>
        <v>choice of up to two skills 2 (total)</v>
      </c>
      <c r="X31" s="33" t="str">
        <f>IF(VLOOKUP($X$2,Info!$E$258:$DK$383,Y31,0)="","",(VLOOKUP($X$2,Info!$E$258:$DK$383,Y31,0)))</f>
        <v>Culture Lore (own) 1</v>
      </c>
      <c r="Y31" s="12">
        <v>30</v>
      </c>
    </row>
    <row r="32" spans="1:25" ht="12.75" customHeight="1" x14ac:dyDescent="0.2">
      <c r="A32" s="116" t="s">
        <v>441</v>
      </c>
      <c r="B32" s="83"/>
      <c r="C32" s="100" t="str">
        <f>HLOOKUP(Stats!$B$5,Info!$E$2:$DD$57,8,0)</f>
        <v>2/7</v>
      </c>
      <c r="D32" s="100" t="str">
        <f>IF(Stats!$B$6="","",HLOOKUP(Stats!$B$6,Info!$E$2:$DD$57,8,0))</f>
        <v>2/5</v>
      </c>
      <c r="E32" s="153"/>
      <c r="F32" s="153">
        <f>VLOOKUP(E32,Info!$HB$1:$HI$203,2)</f>
        <v>-15</v>
      </c>
      <c r="G32" s="153" t="s">
        <v>442</v>
      </c>
      <c r="H32" s="153">
        <f>Stats!$I$13+Stats!$I$14</f>
        <v>7</v>
      </c>
      <c r="I32" s="171">
        <f>IF(Stats!$M$4="",HLOOKUP(Stats!$B$5,Info!$F$59:$DD$114,Info!$DF$9,0),((HLOOKUP(Stats!$B$5,Info!$F$59:$DD$114,Info!$DF$9,0)+HLOOKUP(Stats!$B$6,Info!$F$59:$DD$114,Info!$DF$9,0))/2-0.01))</f>
        <v>-0.01</v>
      </c>
      <c r="J32" s="153"/>
      <c r="K32" s="171">
        <f>F32+H32+I32+J32</f>
        <v>-8.01</v>
      </c>
      <c r="M32" s="261"/>
      <c r="O32" s="12">
        <f t="shared" si="0"/>
        <v>0</v>
      </c>
      <c r="P32" s="245"/>
      <c r="Q32" s="254">
        <f>HLOOKUP(Stats!$B$2,Info!$EN$3:$GZ$48,Info!$HA$9,0)</f>
        <v>2</v>
      </c>
      <c r="R32" s="239" t="s">
        <v>443</v>
      </c>
      <c r="S32" s="239" t="s">
        <v>443</v>
      </c>
      <c r="T32" s="280" t="str">
        <f>IF(HLOOKUP(Stats!$B$2,Info!$EO$70:$GZ$132,Info!$HA$99,0)="","",HLOOKUP(Stats!$B$2,Info!$EO$70:$GZ$132,Info!$HA$99,0))</f>
        <v/>
      </c>
      <c r="U32" s="154"/>
      <c r="V32" s="33" t="str">
        <f>IF(VLOOKUP($V$2,Info!$E$258:$DK$383,Y32,0)="","",(VLOOKUP($V$2,Info!$E$258:$DK$383,Y32,0)))</f>
        <v>Observation 1</v>
      </c>
      <c r="W32" s="33" t="str">
        <f>IF(VLOOKUP($W$2,Info!$E$258:$DK$383,Y32,0)="","",(VLOOKUP($W$2,Info!$E$258:$DK$383,Y32,0)))</f>
        <v/>
      </c>
      <c r="X32" s="33" t="str">
        <f>IF(VLOOKUP($X$2,Info!$E$258:$DK$383,Y32,0)="","",(VLOOKUP($X$2,Info!$E$258:$DK$383,Y32,0)))</f>
        <v>Region Lore (local town) 1</v>
      </c>
      <c r="Y32" s="12">
        <v>31</v>
      </c>
    </row>
    <row r="33" spans="1:25" ht="12.75" customHeight="1" x14ac:dyDescent="0.2">
      <c r="A33" s="59"/>
      <c r="B33" s="138" t="s">
        <v>444</v>
      </c>
      <c r="C33" s="21" t="str">
        <f>HLOOKUP(Stats!$B$5,Info!$E$2:$DD$57,8,0)</f>
        <v>2/7</v>
      </c>
      <c r="D33" s="21" t="str">
        <f>IF(Stats!$B$6="","",HLOOKUP(Stats!$B$6,Info!$E$2:$DD$57,8,0))</f>
        <v>2/5</v>
      </c>
      <c r="E33" s="21"/>
      <c r="F33" s="21">
        <f>VLOOKUP(E33,Info!$HB$1:$HI$203,3)</f>
        <v>-15</v>
      </c>
      <c r="G33" s="21" t="s">
        <v>445</v>
      </c>
      <c r="H33" s="21">
        <f>Stats!$I$13</f>
        <v>-6</v>
      </c>
      <c r="I33" s="21"/>
      <c r="J33" s="21"/>
      <c r="K33" s="76">
        <f t="shared" ref="K33:K38" si="2">F33+H33+I33+J33+$K$32</f>
        <v>-29.009999999999998</v>
      </c>
      <c r="M33" s="261"/>
      <c r="O33" s="12">
        <f t="shared" si="0"/>
        <v>0</v>
      </c>
      <c r="P33" s="245"/>
      <c r="Q33" s="254"/>
      <c r="R33" s="240" t="s">
        <v>446</v>
      </c>
      <c r="S33" s="240" t="s">
        <v>446</v>
      </c>
      <c r="T33" s="280" t="str">
        <f>IF(HLOOKUP(Stats!$B$2,Info!$EO$70:$GZ$132,Info!$HA$100,0)="","",HLOOKUP(Stats!$B$2,Info!$EO$70:$GZ$132,Info!$HA$100,0))</f>
        <v/>
      </c>
      <c r="U33" s="154"/>
      <c r="V33" s="33" t="str">
        <f>IF(VLOOKUP($V$2,Info!$E$258:$DK$383,Y33,0)="","",(VLOOKUP($V$2,Info!$E$258:$DK$383,Y33,0)))</f>
        <v/>
      </c>
      <c r="W33" s="33" t="str">
        <f>IF(VLOOKUP($W$2,Info!$E$258:$DK$383,Y33,0)="","",(VLOOKUP($W$2,Info!$E$258:$DK$383,Y33,0)))</f>
        <v/>
      </c>
      <c r="X33" s="33" t="str">
        <f>IF(VLOOKUP($X$2,Info!$E$258:$DK$383,Y33,0)="","",(VLOOKUP($X$2,Info!$E$258:$DK$383,Y33,0)))</f>
        <v/>
      </c>
      <c r="Y33" s="12">
        <v>32</v>
      </c>
    </row>
    <row r="34" spans="1:25" ht="12.75" customHeight="1" x14ac:dyDescent="0.2">
      <c r="A34" s="21"/>
      <c r="B34" s="38" t="s">
        <v>447</v>
      </c>
      <c r="C34" s="21" t="str">
        <f>HLOOKUP(Stats!$B$5,Info!$E$2:$DD$57,8,0)</f>
        <v>2/7</v>
      </c>
      <c r="D34" s="21" t="str">
        <f>IF(Stats!$B$6="","",HLOOKUP(Stats!$B$6,Info!$E$2:$DD$57,8,0))</f>
        <v>2/5</v>
      </c>
      <c r="E34" s="21"/>
      <c r="F34" s="21">
        <f>VLOOKUP(E34,Info!$HB$1:$HI$203,3)</f>
        <v>-15</v>
      </c>
      <c r="G34" s="21" t="s">
        <v>445</v>
      </c>
      <c r="H34" s="21">
        <f>Stats!$I$13</f>
        <v>-6</v>
      </c>
      <c r="I34" s="21"/>
      <c r="J34" s="21"/>
      <c r="K34" s="76">
        <f t="shared" si="2"/>
        <v>-29.009999999999998</v>
      </c>
      <c r="M34" s="261"/>
      <c r="O34" s="12">
        <f t="shared" si="0"/>
        <v>0</v>
      </c>
      <c r="P34" s="245"/>
      <c r="Q34" s="254"/>
      <c r="R34" s="159" t="str">
        <f>IF(HLOOKUP(Stats!$B$2,Info!$EO$62:$GZ$68,Info!$HA$63,0)="","",HLOOKUP(Stats!$B$2,Info!$EO$62:$GZ$68,Info!$HA$63,0))</f>
        <v>None</v>
      </c>
      <c r="S34" s="159" t="str">
        <f>IF(HLOOKUP(Stats!$B$2,Info!$EO$62:$GZ$68,Info!$HA$63,0)="","",HLOOKUP(Stats!$B$2,Info!$EO$62:$GZ$68,Info!$HA$63,0))</f>
        <v>None</v>
      </c>
      <c r="T34" s="280" t="str">
        <f>IF(HLOOKUP(Stats!$B$2,Info!$EO$70:$GZ$132,Info!$HA$101,0)="","",HLOOKUP(Stats!$B$2,Info!$EO$70:$GZ$132,Info!$HA$101,0))</f>
        <v/>
      </c>
      <c r="U34" s="154"/>
      <c r="V34" s="33" t="str">
        <f>IF(VLOOKUP($V$2,Info!$E$258:$DK$383,Y34,0)="","",(VLOOKUP($V$2,Info!$E$258:$DK$383,Y34,0)))</f>
        <v/>
      </c>
      <c r="W34" s="33" t="str">
        <f>IF(VLOOKUP($W$2,Info!$E$258:$DK$383,Y34,0)="","",(VLOOKUP($W$2,Info!$E$258:$DK$383,Y34,0)))</f>
        <v/>
      </c>
      <c r="X34" s="33" t="str">
        <f>IF(VLOOKUP($X$2,Info!$E$258:$DK$383,Y34,0)="","",(VLOOKUP($X$2,Info!$E$258:$DK$383,Y34,0)))</f>
        <v/>
      </c>
      <c r="Y34" s="12">
        <v>33</v>
      </c>
    </row>
    <row r="35" spans="1:25" ht="12.75" customHeight="1" x14ac:dyDescent="0.2">
      <c r="A35" s="21"/>
      <c r="B35" s="38" t="s">
        <v>448</v>
      </c>
      <c r="C35" s="21" t="str">
        <f>HLOOKUP(Stats!$B$5,Info!$E$2:$DD$57,8,0)</f>
        <v>2/7</v>
      </c>
      <c r="D35" s="21" t="str">
        <f>IF(Stats!$B$6="","",HLOOKUP(Stats!$B$6,Info!$E$2:$DD$57,8,0))</f>
        <v>2/5</v>
      </c>
      <c r="E35" s="21"/>
      <c r="F35" s="21">
        <f>VLOOKUP(E35,Info!$HB$1:$HI$203,3)</f>
        <v>-15</v>
      </c>
      <c r="G35" s="21" t="s">
        <v>403</v>
      </c>
      <c r="H35" s="21">
        <f>Stats!$I$18</f>
        <v>-5</v>
      </c>
      <c r="I35" s="21"/>
      <c r="J35" s="21"/>
      <c r="K35" s="76">
        <f t="shared" si="2"/>
        <v>-28.009999999999998</v>
      </c>
      <c r="M35" s="261"/>
      <c r="O35" s="12">
        <f t="shared" ref="O35:O66" si="3">E35+M35</f>
        <v>0</v>
      </c>
      <c r="P35" s="245"/>
      <c r="Q35" s="254"/>
      <c r="R35" s="159" t="str">
        <f>IF(HLOOKUP(Stats!$B$2,Info!$EO$62:$GZ$68,Info!$HA$64,0)="","",HLOOKUP(Stats!$B$2,Info!$EO$62:$GZ$68,Info!$HA$64,0))</f>
        <v/>
      </c>
      <c r="S35" s="159" t="str">
        <f>IF(HLOOKUP(Stats!$B$2,Info!$EO$62:$GZ$68,Info!$HA$64,0)="","",HLOOKUP(Stats!$B$2,Info!$EO$62:$GZ$68,Info!$HA$64,0))</f>
        <v/>
      </c>
      <c r="T35" s="280" t="str">
        <f>IF(HLOOKUP(Stats!$B$2,Info!$EO$70:$GZ$132,Info!$HA$102,0)="","",HLOOKUP(Stats!$B$2,Info!$EO$70:$GZ$132,Info!$HA$102,0))</f>
        <v/>
      </c>
      <c r="U35" s="154"/>
      <c r="V35" s="33" t="str">
        <f>IF(VLOOKUP($V$2,Info!$E$258:$DK$383,Y35,0)="","",(VLOOKUP($V$2,Info!$E$258:$DK$383,Y35,0)))</f>
        <v/>
      </c>
      <c r="W35" s="33" t="str">
        <f>IF(VLOOKUP($W$2,Info!$E$258:$DK$383,Y35,0)="","",(VLOOKUP($W$2,Info!$E$258:$DK$383,Y35,0)))</f>
        <v/>
      </c>
      <c r="X35" s="33" t="str">
        <f>IF(VLOOKUP($X$2,Info!$E$258:$DK$383,Y35,0)="","",(VLOOKUP($X$2,Info!$E$258:$DK$383,Y35,0)))</f>
        <v/>
      </c>
      <c r="Y35" s="12">
        <v>34</v>
      </c>
    </row>
    <row r="36" spans="1:25" ht="12.75" customHeight="1" x14ac:dyDescent="0.2">
      <c r="A36" s="21"/>
      <c r="B36" s="38" t="s">
        <v>449</v>
      </c>
      <c r="C36" s="21" t="str">
        <f>HLOOKUP(Stats!$B$5,Info!$E$2:$DD$57,8,0)</f>
        <v>2/7</v>
      </c>
      <c r="D36" s="21" t="str">
        <f>IF(Stats!$B$6="","",HLOOKUP(Stats!$B$6,Info!$E$2:$DD$57,8,0))</f>
        <v>2/5</v>
      </c>
      <c r="E36" s="21"/>
      <c r="F36" s="21">
        <f>VLOOKUP(E36,Info!$HB$1:$HI$203,3)</f>
        <v>-15</v>
      </c>
      <c r="G36" s="21" t="s">
        <v>403</v>
      </c>
      <c r="H36" s="21">
        <f>Stats!$I$18</f>
        <v>-5</v>
      </c>
      <c r="I36" s="21"/>
      <c r="J36" s="21"/>
      <c r="K36" s="76">
        <f t="shared" si="2"/>
        <v>-28.009999999999998</v>
      </c>
      <c r="M36" s="261"/>
      <c r="O36" s="12">
        <f t="shared" si="3"/>
        <v>0</v>
      </c>
      <c r="P36" s="245"/>
      <c r="Q36" s="254"/>
      <c r="R36" s="159" t="str">
        <f>IF(HLOOKUP(Stats!$B$2,Info!$EO$62:$GZ$68,Info!$HA$65,0)="","",HLOOKUP(Stats!$B$2,Info!$EO$62:$GZ$68,Info!$HA$65,0))</f>
        <v/>
      </c>
      <c r="S36" s="159" t="str">
        <f>IF(HLOOKUP(Stats!$B$2,Info!$EO$62:$GZ$68,Info!$HA$65,0)="","",HLOOKUP(Stats!$B$2,Info!$EO$62:$GZ$68,Info!$HA$65,0))</f>
        <v/>
      </c>
      <c r="T36" s="280" t="str">
        <f>IF(HLOOKUP(Stats!$B$2,Info!$EO$70:$GZ$132,Info!$HA$103,0)="","",HLOOKUP(Stats!$B$2,Info!$EO$70:$GZ$132,Info!$HA$103,0))</f>
        <v/>
      </c>
      <c r="U36" s="154"/>
      <c r="V36" s="33" t="str">
        <f>IF(VLOOKUP($V$2,Info!$E$258:$DK$383,Y36,0)="","",(VLOOKUP($V$2,Info!$E$258:$DK$383,Y36,0)))</f>
        <v/>
      </c>
      <c r="W36" s="33" t="str">
        <f>IF(VLOOKUP($W$2,Info!$E$258:$DK$383,Y36,0)="","",(VLOOKUP($W$2,Info!$E$258:$DK$383,Y36,0)))</f>
        <v/>
      </c>
      <c r="X36" s="33" t="str">
        <f>IF(VLOOKUP($X$2,Info!$E$258:$DK$383,Y36,0)="","",(VLOOKUP($X$2,Info!$E$258:$DK$383,Y36,0)))</f>
        <v/>
      </c>
      <c r="Y36" s="12">
        <v>35</v>
      </c>
    </row>
    <row r="37" spans="1:25" ht="12.75" customHeight="1" x14ac:dyDescent="0.2">
      <c r="A37" s="21"/>
      <c r="B37" s="38" t="s">
        <v>450</v>
      </c>
      <c r="C37" s="21" t="str">
        <f>HLOOKUP(Stats!$B$5,Info!$E$2:$DD$57,8,0)</f>
        <v>2/7</v>
      </c>
      <c r="D37" s="21" t="str">
        <f>IF(Stats!$B$6="","",HLOOKUP(Stats!$B$6,Info!$E$2:$DD$57,8,0))</f>
        <v>2/5</v>
      </c>
      <c r="E37" s="21"/>
      <c r="F37" s="21">
        <f>VLOOKUP(E37,Info!$HB$1:$HI$203,3)</f>
        <v>-15</v>
      </c>
      <c r="G37" s="21" t="s">
        <v>451</v>
      </c>
      <c r="H37" s="21">
        <f>Stats!$I$19</f>
        <v>16</v>
      </c>
      <c r="I37" s="21"/>
      <c r="J37" s="21"/>
      <c r="K37" s="76">
        <f t="shared" si="2"/>
        <v>-7.01</v>
      </c>
      <c r="M37" s="261"/>
      <c r="O37" s="12">
        <f t="shared" si="3"/>
        <v>0</v>
      </c>
      <c r="P37" s="245"/>
      <c r="Q37" s="254"/>
      <c r="R37" s="159" t="str">
        <f>IF(HLOOKUP(Stats!$B$2,Info!$EO$62:$GZ$68,Info!$HA$66,0)="","",HLOOKUP(Stats!$B$2,Info!$EO$62:$GZ$68,Info!$HA$66,0))</f>
        <v/>
      </c>
      <c r="S37" s="159" t="str">
        <f>IF(HLOOKUP(Stats!$B$2,Info!$EO$62:$GZ$68,Info!$HA$66,0)="","",HLOOKUP(Stats!$B$2,Info!$EO$62:$GZ$68,Info!$HA$66,0))</f>
        <v/>
      </c>
      <c r="T37" s="280" t="str">
        <f>IF(HLOOKUP(Stats!$B$2,Info!$EO$70:$GZ$132,Info!$HA$104,0)="","",HLOOKUP(Stats!$B$2,Info!$EO$70:$GZ$132,Info!$HA$104,0))</f>
        <v/>
      </c>
      <c r="U37" s="154"/>
      <c r="V37" s="33" t="str">
        <f>IF(VLOOKUP($V$2,Info!$E$258:$DK$383,Y37,0)="","",(VLOOKUP($V$2,Info!$E$258:$DK$383,Y37,0)))</f>
        <v/>
      </c>
      <c r="W37" s="33" t="str">
        <f>IF(VLOOKUP($W$2,Info!$E$258:$DK$383,Y37,0)="","",(VLOOKUP($W$2,Info!$E$258:$DK$383,Y37,0)))</f>
        <v/>
      </c>
      <c r="X37" s="33" t="str">
        <f>IF(VLOOKUP($X$2,Info!$E$258:$DK$383,Y37,0)="","",(VLOOKUP($X$2,Info!$E$258:$DK$383,Y37,0)))</f>
        <v/>
      </c>
      <c r="Y37" s="12">
        <v>36</v>
      </c>
    </row>
    <row r="38" spans="1:25" ht="12.75" customHeight="1" x14ac:dyDescent="0.2">
      <c r="A38" s="97"/>
      <c r="B38" s="155" t="s">
        <v>452</v>
      </c>
      <c r="C38" s="21" t="str">
        <f>HLOOKUP(Stats!$B$5,Info!$E$2:$DD$57,8,0)</f>
        <v>2/7</v>
      </c>
      <c r="D38" s="21" t="str">
        <f>IF(Stats!$B$6="","",HLOOKUP(Stats!$B$6,Info!$E$2:$DD$57,8,0))</f>
        <v>2/5</v>
      </c>
      <c r="E38" s="21"/>
      <c r="F38" s="21">
        <f>VLOOKUP(E38,Info!$HB$1:$HI$203,3)</f>
        <v>-15</v>
      </c>
      <c r="G38" s="21" t="s">
        <v>222</v>
      </c>
      <c r="H38" s="21">
        <f>Stats!$I$15</f>
        <v>1</v>
      </c>
      <c r="I38" s="21"/>
      <c r="J38" s="21"/>
      <c r="K38" s="76">
        <f t="shared" si="2"/>
        <v>-22.009999999999998</v>
      </c>
      <c r="M38" s="261"/>
      <c r="O38" s="12">
        <f t="shared" si="3"/>
        <v>0</v>
      </c>
      <c r="P38" s="245"/>
      <c r="Q38" s="254">
        <f>HLOOKUP(Stats!$B$2,Info!$EN$3:$GZ$48,Info!$HA$10,0)</f>
        <v>2</v>
      </c>
      <c r="R38" s="157" t="s">
        <v>453</v>
      </c>
      <c r="S38" s="157" t="s">
        <v>453</v>
      </c>
      <c r="T38" s="280" t="str">
        <f>IF(HLOOKUP(Stats!$B$2,Info!$EO$70:$GZ$132,Info!$HA$105,0)="","",HLOOKUP(Stats!$B$2,Info!$EO$70:$GZ$132,Info!$HA$105,0))</f>
        <v/>
      </c>
      <c r="U38" s="154"/>
      <c r="V38" s="33" t="str">
        <f>IF(VLOOKUP($V$2,Info!$E$258:$DK$383,Y38,0)="","",(VLOOKUP($V$2,Info!$E$258:$DK$383,Y38,0)))</f>
        <v/>
      </c>
      <c r="W38" s="33" t="str">
        <f>IF(VLOOKUP($W$2,Info!$E$258:$DK$383,Y38,0)="","",(VLOOKUP($W$2,Info!$E$258:$DK$383,Y38,0)))</f>
        <v/>
      </c>
      <c r="X38" s="33" t="str">
        <f>IF(VLOOKUP($X$2,Info!$E$258:$DK$383,Y38,0)="","",(VLOOKUP($X$2,Info!$E$258:$DK$383,Y38,0)))</f>
        <v/>
      </c>
      <c r="Y38" s="12">
        <v>37</v>
      </c>
    </row>
    <row r="39" spans="1:25" ht="12.75" customHeight="1" x14ac:dyDescent="0.2">
      <c r="A39" s="116" t="s">
        <v>454</v>
      </c>
      <c r="B39" s="83"/>
      <c r="C39" s="100" t="str">
        <f>HLOOKUP(Stats!$B$5,Info!$E$2:$DD$57,9,0)</f>
        <v>1/3</v>
      </c>
      <c r="D39" s="100" t="str">
        <f>IF(Stats!$B$6="","",HLOOKUP(Stats!$B$6,Info!$E$2:$DD$57,9,0))</f>
        <v>1/5</v>
      </c>
      <c r="E39" s="153"/>
      <c r="F39" s="153">
        <f>VLOOKUP(E39,Info!$HB$1:$HI$203,2)</f>
        <v>-15</v>
      </c>
      <c r="G39" s="153" t="s">
        <v>455</v>
      </c>
      <c r="H39" s="153">
        <f>Stats!I14+Stats!I19</f>
        <v>29</v>
      </c>
      <c r="I39" s="171">
        <f>IF(Stats!$M$4="",HLOOKUP(Stats!$B$5,Info!$F$59:$DD$114,Info!$DF$10,0),((HLOOKUP(Stats!$B$5,Info!$F$59:$DD$114,Info!$DF$10,0)+HLOOKUP(Stats!$B$6,Info!$F$59:$DD$114,Info!$DF$10,0))/2-0.01))</f>
        <v>4.99</v>
      </c>
      <c r="J39" s="153"/>
      <c r="K39" s="171">
        <f>F39+H39+I39+J39</f>
        <v>18.990000000000002</v>
      </c>
      <c r="M39" s="261"/>
      <c r="O39" s="12">
        <f t="shared" si="3"/>
        <v>0</v>
      </c>
      <c r="P39" s="245"/>
      <c r="Q39" s="254">
        <f>HLOOKUP(Stats!$B$2,Info!$EN$3:$GZ$48,Info!$HA$11,0)</f>
        <v>2</v>
      </c>
      <c r="R39" s="138" t="s">
        <v>446</v>
      </c>
      <c r="S39" s="138" t="s">
        <v>446</v>
      </c>
      <c r="T39" s="280" t="str">
        <f>IF(HLOOKUP(Stats!$B$2,Info!$EO$70:$GZ$132,Info!$HA$106,0)="","",HLOOKUP(Stats!$B$2,Info!$EO$70:$GZ$132,Info!$HA$106,0))</f>
        <v/>
      </c>
      <c r="U39" s="154"/>
      <c r="V39" s="33" t="str">
        <f>IF(VLOOKUP($V$2,Info!$E$258:$DK$383,Y39,0)="","",(VLOOKUP($V$2,Info!$E$258:$DK$383,Y39,0)))</f>
        <v/>
      </c>
      <c r="W39" s="33" t="str">
        <f>IF(VLOOKUP($W$2,Info!$E$258:$DK$383,Y39,0)="","",(VLOOKUP($W$2,Info!$E$258:$DK$383,Y39,0)))</f>
        <v/>
      </c>
      <c r="X39" s="33" t="str">
        <f>IF(VLOOKUP($X$2,Info!$E$258:$DK$383,Y39,0)="","",(VLOOKUP($X$2,Info!$E$258:$DK$383,Y39,0)))</f>
        <v/>
      </c>
      <c r="Y39" s="12">
        <v>38</v>
      </c>
    </row>
    <row r="40" spans="1:25" ht="12.75" customHeight="1" x14ac:dyDescent="0.2">
      <c r="A40" s="59"/>
      <c r="B40" s="138" t="s">
        <v>456</v>
      </c>
      <c r="C40" s="21" t="str">
        <f>HLOOKUP(Stats!$B$5,Info!$E$2:$DD$57,9,0)</f>
        <v>1/3</v>
      </c>
      <c r="D40" s="21" t="str">
        <f>IF(Stats!$B$6="","",HLOOKUP(Stats!$B$6,Info!$E$2:$DD$57,9,0))</f>
        <v>1/5</v>
      </c>
      <c r="E40" s="21"/>
      <c r="F40" s="21">
        <f>VLOOKUP(E40,Info!$HB$1:$HI$203,3)</f>
        <v>-15</v>
      </c>
      <c r="G40" s="21" t="s">
        <v>408</v>
      </c>
      <c r="H40" s="21">
        <f>Stats!$I$14</f>
        <v>13</v>
      </c>
      <c r="I40" s="21"/>
      <c r="J40" s="21"/>
      <c r="K40" s="76">
        <f t="shared" ref="K40:K54" si="4">F40+H40+I40+J40+$K$39</f>
        <v>16.990000000000002</v>
      </c>
      <c r="M40" s="261"/>
      <c r="O40" s="12">
        <f t="shared" si="3"/>
        <v>0</v>
      </c>
      <c r="P40" s="245"/>
      <c r="Q40" s="254"/>
      <c r="R40" s="159" t="str">
        <f>IF(HLOOKUP(Stats!$B$5,Info!$F$158:$DD$161,Info!$DF$159,0)="","",HLOOKUP(Stats!$B$5,Info!$F$158:$DD$161,Info!$DF$159,0))</f>
        <v>Absorb Power Points</v>
      </c>
      <c r="S40" s="272" t="str">
        <f>IF(Stats!$M$4="","",(IF(HLOOKUP(Stats!$B$6,Info!$F$158:$DD$161,Info!$DF$159,0)=0,"",HLOOKUP(Stats!$B$6,Info!$F$158:$DD$161,Info!$DF$159,0))))</f>
        <v>Absorb Power Points</v>
      </c>
      <c r="T40" s="280" t="str">
        <f>IF(HLOOKUP(Stats!$B$2,Info!$EO$70:$GZ$132,Info!$HA$107,0)="","",HLOOKUP(Stats!$B$2,Info!$EO$70:$GZ$132,Info!$HA$107,0))</f>
        <v/>
      </c>
      <c r="U40" s="154"/>
      <c r="V40" s="33" t="str">
        <f>IF(VLOOKUP($V$2,Info!$E$258:$DK$383,Y40,0)="","",(VLOOKUP($V$2,Info!$E$258:$DK$383,Y40,0)))</f>
        <v/>
      </c>
      <c r="W40" s="33" t="str">
        <f>IF(VLOOKUP($W$2,Info!$E$258:$DK$383,Y40,0)="","",(VLOOKUP($W$2,Info!$E$258:$DK$383,Y40,0)))</f>
        <v/>
      </c>
      <c r="X40" s="33" t="str">
        <f>IF(VLOOKUP($X$2,Info!$E$258:$DK$383,Y40,0)="","",(VLOOKUP($X$2,Info!$E$258:$DK$383,Y40,0)))</f>
        <v/>
      </c>
      <c r="Y40" s="12">
        <v>39</v>
      </c>
    </row>
    <row r="41" spans="1:25" ht="12.75" customHeight="1" x14ac:dyDescent="0.2">
      <c r="A41" s="21"/>
      <c r="B41" s="38" t="s">
        <v>457</v>
      </c>
      <c r="C41" s="21" t="str">
        <f>HLOOKUP(Stats!$B$5,Info!$E$2:$DD$57,9,0)</f>
        <v>1/3</v>
      </c>
      <c r="D41" s="21" t="str">
        <f>IF(Stats!$B$6="","",HLOOKUP(Stats!$B$6,Info!$E$2:$DD$57,9,0))</f>
        <v>1/5</v>
      </c>
      <c r="E41" s="21"/>
      <c r="F41" s="21">
        <f>VLOOKUP(E41,Info!$HB$1:$HI$203,3)</f>
        <v>-15</v>
      </c>
      <c r="G41" s="21" t="s">
        <v>445</v>
      </c>
      <c r="H41" s="21">
        <f>Stats!$I$13</f>
        <v>-6</v>
      </c>
      <c r="I41" s="21"/>
      <c r="J41" s="21"/>
      <c r="K41" s="76">
        <f t="shared" si="4"/>
        <v>-2.009999999999998</v>
      </c>
      <c r="M41" s="261"/>
      <c r="O41" s="12">
        <f t="shared" si="3"/>
        <v>0</v>
      </c>
      <c r="P41" s="245"/>
      <c r="Q41" s="254"/>
      <c r="R41" s="159" t="str">
        <f>IF(HLOOKUP(Stats!$B$5,Info!$F$158:$DD$161,Info!$DF$160,0)="","",HLOOKUP(Stats!$B$5,Info!$F$158:$DD$161,Info!$DF$160,0))</f>
        <v/>
      </c>
      <c r="S41" s="23" t="str">
        <f>IF(Stats!$M$4="","",(IF(HLOOKUP(Stats!$B$6,Info!$F$158:$DD$161,Info!$DF$160,0)=0,"",HLOOKUP(Stats!$B$6,Info!$F$158:$DD$161,Info!$DF$160,0))))</f>
        <v/>
      </c>
      <c r="T41" s="280" t="str">
        <f>IF(HLOOKUP(Stats!$B$2,Info!$EO$70:$GZ$132,Info!$HA$108,0)="","",HLOOKUP(Stats!$B$2,Info!$EO$70:$GZ$132,Info!$HA$108,0))</f>
        <v/>
      </c>
      <c r="U41" s="154"/>
      <c r="V41" s="33" t="str">
        <f>IF(VLOOKUP($V$2,Info!$E$258:$DK$383,Y41,0)="","",(VLOOKUP($V$2,Info!$E$258:$DK$383,Y41,0)))</f>
        <v/>
      </c>
      <c r="W41" s="33" t="str">
        <f>IF(VLOOKUP($W$2,Info!$E$258:$DK$383,Y41,0)="","",(VLOOKUP($W$2,Info!$E$258:$DK$383,Y41,0)))</f>
        <v/>
      </c>
      <c r="X41" s="33" t="str">
        <f>IF(VLOOKUP($X$2,Info!$E$258:$DK$383,Y41,0)="","",(VLOOKUP($X$2,Info!$E$258:$DK$383,Y41,0)))</f>
        <v/>
      </c>
      <c r="Y41" s="12">
        <v>40</v>
      </c>
    </row>
    <row r="42" spans="1:25" ht="12.75" customHeight="1" x14ac:dyDescent="0.2">
      <c r="A42" s="21"/>
      <c r="B42" s="38" t="s">
        <v>458</v>
      </c>
      <c r="C42" s="21" t="str">
        <f>HLOOKUP(Stats!$B$5,Info!$E$2:$DD$57,9,0)</f>
        <v>1/3</v>
      </c>
      <c r="D42" s="21" t="str">
        <f>IF(Stats!$B$6="","",HLOOKUP(Stats!$B$6,Info!$E$2:$DD$57,9,0))</f>
        <v>1/5</v>
      </c>
      <c r="E42" s="21"/>
      <c r="F42" s="21">
        <f>VLOOKUP(E42,Info!$HB$1:$HI$203,3)</f>
        <v>-15</v>
      </c>
      <c r="G42" s="21" t="s">
        <v>403</v>
      </c>
      <c r="H42" s="21">
        <f>Stats!$I$18</f>
        <v>-5</v>
      </c>
      <c r="I42" s="21"/>
      <c r="J42" s="21"/>
      <c r="K42" s="76">
        <f t="shared" si="4"/>
        <v>-1.009999999999998</v>
      </c>
      <c r="M42" s="261"/>
      <c r="O42" s="12">
        <f t="shared" si="3"/>
        <v>0</v>
      </c>
      <c r="P42" s="245"/>
      <c r="Q42" s="254">
        <f>HLOOKUP(Stats!$B$2,Info!$EN$3:$GZ$48,Info!$HA$12,0)</f>
        <v>2</v>
      </c>
      <c r="R42" s="159" t="str">
        <f>IF(HLOOKUP(Stats!$B$5,Info!$F$158:$DD$161,Info!$DF$161,0)="","",HLOOKUP(Stats!$B$5,Info!$F$158:$DD$161,Info!$DF$161,0))</f>
        <v/>
      </c>
      <c r="S42" s="23" t="str">
        <f>IF(Stats!$M$4="","",(IF(HLOOKUP(Stats!$B$6,Info!$F$158:$DD$161,Info!$DF$161,0)=0,"",HLOOKUP(Stats!$B$6,Info!$F$158:$DD$161,Info!$DF$161,0))))</f>
        <v/>
      </c>
      <c r="T42" s="280" t="str">
        <f>IF(HLOOKUP(Stats!$B$2,Info!$EO$70:$GZ$132,Info!$HA$109,0)="","",HLOOKUP(Stats!$B$2,Info!$EO$70:$GZ$132,Info!$HA$109,0))</f>
        <v/>
      </c>
      <c r="U42" s="154"/>
      <c r="V42" s="33" t="str">
        <f>IF(VLOOKUP($V$2,Info!$E$258:$DK$383,Y42,0)="","",(VLOOKUP($V$2,Info!$E$258:$DK$383,Y42,0)))</f>
        <v/>
      </c>
      <c r="W42" s="33" t="str">
        <f>IF(VLOOKUP($W$2,Info!$E$258:$DK$383,Y42,0)="","",(VLOOKUP($W$2,Info!$E$258:$DK$383,Y42,0)))</f>
        <v/>
      </c>
      <c r="X42" s="33" t="str">
        <f>IF(VLOOKUP($X$2,Info!$E$258:$DK$383,Y42,0)="","",(VLOOKUP($X$2,Info!$E$258:$DK$383,Y42,0)))</f>
        <v/>
      </c>
      <c r="Y42" s="12">
        <v>41</v>
      </c>
    </row>
    <row r="43" spans="1:25" ht="12.75" customHeight="1" x14ac:dyDescent="0.2">
      <c r="A43" s="21"/>
      <c r="B43" s="38" t="s">
        <v>459</v>
      </c>
      <c r="C43" s="21" t="str">
        <f>HLOOKUP(Stats!$B$5,Info!$E$2:$DD$57,9,0)</f>
        <v>1/3</v>
      </c>
      <c r="D43" s="21" t="str">
        <f>IF(Stats!$B$6="","",HLOOKUP(Stats!$B$6,Info!$E$2:$DD$57,9,0))</f>
        <v>1/5</v>
      </c>
      <c r="E43" s="21"/>
      <c r="F43" s="21">
        <f>VLOOKUP(E43,Info!$HB$1:$HI$203,3)</f>
        <v>-15</v>
      </c>
      <c r="G43" s="21" t="s">
        <v>222</v>
      </c>
      <c r="H43" s="21">
        <f>Stats!$I$15</f>
        <v>1</v>
      </c>
      <c r="I43" s="21"/>
      <c r="J43" s="21"/>
      <c r="K43" s="76">
        <f t="shared" si="4"/>
        <v>4.990000000000002</v>
      </c>
      <c r="M43" s="261"/>
      <c r="O43" s="12">
        <f t="shared" si="3"/>
        <v>0</v>
      </c>
      <c r="P43" s="245"/>
      <c r="Q43" s="289"/>
      <c r="R43" s="290" t="s">
        <v>460</v>
      </c>
      <c r="S43" s="291" t="s">
        <v>460</v>
      </c>
      <c r="T43" s="286" t="str">
        <f>IF(HLOOKUP(Stats!$B$2,Info!$EO$70:$GZ$132,Info!$HA$110,0)="","",HLOOKUP(Stats!$B$2,Info!$EO$70:$GZ$132,Info!$HA$110,0))</f>
        <v/>
      </c>
      <c r="U43" s="154"/>
      <c r="V43" s="33" t="str">
        <f>IF(VLOOKUP($V$2,Info!$E$258:$DK$383,Y43,0)="","",(VLOOKUP($V$2,Info!$E$258:$DK$383,Y43,0)))</f>
        <v/>
      </c>
      <c r="W43" s="33" t="str">
        <f>IF(VLOOKUP($W$2,Info!$E$258:$DK$383,Y43,0)="","",(VLOOKUP($W$2,Info!$E$258:$DK$383,Y43,0)))</f>
        <v/>
      </c>
      <c r="X43" s="33" t="str">
        <f>IF(VLOOKUP($X$2,Info!$E$258:$DK$383,Y43,0)="","",(VLOOKUP($X$2,Info!$E$258:$DK$383,Y43,0)))</f>
        <v/>
      </c>
      <c r="Y43" s="12">
        <v>42</v>
      </c>
    </row>
    <row r="44" spans="1:25" ht="12.75" customHeight="1" x14ac:dyDescent="0.2">
      <c r="A44" s="21"/>
      <c r="B44" s="38" t="s">
        <v>461</v>
      </c>
      <c r="C44" s="21" t="str">
        <f>HLOOKUP(Stats!$B$5,Info!$E$2:$DD$57,9,0)</f>
        <v>1/3</v>
      </c>
      <c r="D44" s="21" t="str">
        <f>IF(Stats!$B$6="","",HLOOKUP(Stats!$B$6,Info!$E$2:$DD$57,9,0))</f>
        <v>1/5</v>
      </c>
      <c r="E44" s="21"/>
      <c r="F44" s="21">
        <f>VLOOKUP(E44,Info!$HB$1:$HI$203,3)</f>
        <v>-15</v>
      </c>
      <c r="G44" s="21" t="s">
        <v>408</v>
      </c>
      <c r="H44" s="21">
        <f>Stats!$I$14</f>
        <v>13</v>
      </c>
      <c r="I44" s="21"/>
      <c r="J44" s="21"/>
      <c r="K44" s="76">
        <f t="shared" si="4"/>
        <v>16.990000000000002</v>
      </c>
      <c r="M44" s="261"/>
      <c r="O44" s="12">
        <f t="shared" si="3"/>
        <v>0</v>
      </c>
      <c r="P44" s="245"/>
      <c r="Q44" s="289"/>
      <c r="R44" s="262" t="s">
        <v>462</v>
      </c>
      <c r="S44" s="292" t="s">
        <v>462</v>
      </c>
      <c r="T44" s="286" t="str">
        <f>IF(HLOOKUP(Stats!$B$2,Info!$EO$70:$GZ$132,Info!$HA$111,0)="","",HLOOKUP(Stats!$B$2,Info!$EO$70:$GZ$132,Info!$HA$111,0))</f>
        <v/>
      </c>
      <c r="U44" s="154" t="s">
        <v>466</v>
      </c>
      <c r="V44" s="33" t="str">
        <f>IF(VLOOKUP($V$2,Info!$E$258:$DK$383,Y44,0)="","",(VLOOKUP($V$2,Info!$E$258:$DK$383,Y44,0)))</f>
        <v>None</v>
      </c>
      <c r="W44" s="33" t="str">
        <f>IF(VLOOKUP($W$2,Info!$E$258:$DK$383,Y44,0)="","",(VLOOKUP($W$2,Info!$E$258:$DK$383,Y44,0)))</f>
        <v>None</v>
      </c>
      <c r="X44" s="33" t="str">
        <f>IF(VLOOKUP($X$2,Info!$E$258:$DK$383,Y44,0)="","",(VLOOKUP($X$2,Info!$E$258:$DK$383,Y44,0)))</f>
        <v>None</v>
      </c>
      <c r="Y44" s="12">
        <v>43</v>
      </c>
    </row>
    <row r="45" spans="1:25" ht="12.75" customHeight="1" x14ac:dyDescent="0.2">
      <c r="A45" s="21"/>
      <c r="B45" s="38" t="s">
        <v>463</v>
      </c>
      <c r="C45" s="21" t="str">
        <f>HLOOKUP(Stats!$B$5,Info!$E$2:$DD$57,9,0)</f>
        <v>1/3</v>
      </c>
      <c r="D45" s="21" t="str">
        <f>IF(Stats!$B$6="","",HLOOKUP(Stats!$B$6,Info!$E$2:$DD$57,9,0))</f>
        <v>1/5</v>
      </c>
      <c r="E45" s="21"/>
      <c r="F45" s="21">
        <f>VLOOKUP(E45,Info!$HB$1:$HI$203,3)</f>
        <v>-15</v>
      </c>
      <c r="G45" s="21" t="s">
        <v>464</v>
      </c>
      <c r="H45" s="21">
        <f>Stats!$I$22</f>
        <v>4</v>
      </c>
      <c r="I45" s="21"/>
      <c r="J45" s="21"/>
      <c r="K45" s="76">
        <f t="shared" si="4"/>
        <v>7.990000000000002</v>
      </c>
      <c r="M45" s="261"/>
      <c r="O45" s="12">
        <f t="shared" si="3"/>
        <v>0</v>
      </c>
      <c r="P45" s="245"/>
      <c r="Q45" s="254"/>
      <c r="R45" s="284" t="str">
        <f>IF(HLOOKUP(Stats!$B$5,Info!$F$163:$DF$166,Info!$DF$164,0)="","",HLOOKUP(Stats!$B$5,Info!$F$163:$DF$166,Info!$DF$164,0))</f>
        <v>Lock Lore</v>
      </c>
      <c r="S45" s="287" t="str">
        <f>IF(Stats!$M$4="","",(IF(HLOOKUP(Stats!$B$6,Info!$F$163:$DD$166,Info!$DF$164,0)=0,"",HLOOKUP(Stats!$B$6,Info!$F$163:$DD$166,Info!$DF$164,0))))</f>
        <v>None</v>
      </c>
      <c r="T45" s="286" t="str">
        <f>IF(HLOOKUP(Stats!$B$2,Info!$EO$70:$GZ$132,Info!$HA$112,0)="","",HLOOKUP(Stats!$B$2,Info!$EO$70:$GZ$132,Info!$HA$112,0))</f>
        <v/>
      </c>
      <c r="U45" s="154" t="s">
        <v>468</v>
      </c>
      <c r="V45" s="33" t="str">
        <f>IF(VLOOKUP($V$2,Info!$E$258:$DK$383,Y45,0)="","",(VLOOKUP($V$2,Info!$E$258:$DK$383,Y45,0)))</f>
        <v>None</v>
      </c>
      <c r="W45" s="33" t="str">
        <f>IF(VLOOKUP($W$2,Info!$E$258:$DK$383,Y45,0)="","",(VLOOKUP($W$2,Info!$E$258:$DK$383,Y45,0)))</f>
        <v>None</v>
      </c>
      <c r="X45" s="33" t="str">
        <f>IF(VLOOKUP($X$2,Info!$E$258:$DK$383,Y45,0)="","",(VLOOKUP($X$2,Info!$E$258:$DK$383,Y45,0)))</f>
        <v>None</v>
      </c>
      <c r="Y45" s="12">
        <v>44</v>
      </c>
    </row>
    <row r="46" spans="1:25" ht="12.75" customHeight="1" x14ac:dyDescent="0.2">
      <c r="A46" s="21"/>
      <c r="B46" s="38" t="s">
        <v>465</v>
      </c>
      <c r="C46" s="21" t="str">
        <f>HLOOKUP(Stats!$B$5,Info!$E$2:$DD$57,9,0)</f>
        <v>1/3</v>
      </c>
      <c r="D46" s="21" t="str">
        <f>IF(Stats!$B$6="","",HLOOKUP(Stats!$B$6,Info!$E$2:$DD$57,9,0))</f>
        <v>1/5</v>
      </c>
      <c r="E46" s="21"/>
      <c r="F46" s="21">
        <f>VLOOKUP(E46,Info!$HB$1:$HI$203,3)</f>
        <v>-15</v>
      </c>
      <c r="G46" s="21" t="s">
        <v>464</v>
      </c>
      <c r="H46" s="21">
        <f>Stats!$I$22</f>
        <v>4</v>
      </c>
      <c r="I46" s="21"/>
      <c r="J46" s="21"/>
      <c r="K46" s="76">
        <f t="shared" si="4"/>
        <v>7.990000000000002</v>
      </c>
      <c r="M46" s="261"/>
      <c r="O46" s="12">
        <f t="shared" si="3"/>
        <v>0</v>
      </c>
      <c r="P46" s="245"/>
      <c r="Q46" s="254"/>
      <c r="R46" s="284" t="str">
        <f>IF(HLOOKUP(Stats!$B$5,Info!$F$163:$DF$166,Info!$DF$165,0)="","",HLOOKUP(Stats!$B$5,Info!$F$163:$DF$166,Info!$DF$165,0))</f>
        <v/>
      </c>
      <c r="S46" s="287" t="str">
        <f>IF(Stats!$M$4="","",(IF(HLOOKUP(Stats!$B$6,Info!$F$163:$DD$166,Info!$DF$165,0)=0,"",HLOOKUP(Stats!$B$6,Info!$F$163:$DD$166,Info!$DF$165,0))))</f>
        <v/>
      </c>
      <c r="T46" s="286"/>
      <c r="U46" s="154" t="s">
        <v>470</v>
      </c>
      <c r="V46" s="33" t="str">
        <f>IF(VLOOKUP($V$2,Info!$E$258:$DK$383,Y46,0)="","",(VLOOKUP($V$2,Info!$E$258:$DK$383,Y46,0)))</f>
        <v>None</v>
      </c>
      <c r="W46" s="33" t="str">
        <f>IF(VLOOKUP($W$2,Info!$E$258:$DK$383,Y46,0)="","",(VLOOKUP($W$2,Info!$E$258:$DK$383,Y46,0)))</f>
        <v>None</v>
      </c>
      <c r="X46" s="33" t="str">
        <f>IF(VLOOKUP($X$2,Info!$E$258:$DK$383,Y46,0)="","",(VLOOKUP($X$2,Info!$E$258:$DK$383,Y46,0)))</f>
        <v>None</v>
      </c>
      <c r="Y46" s="12">
        <v>45</v>
      </c>
    </row>
    <row r="47" spans="1:25" ht="12.75" customHeight="1" x14ac:dyDescent="0.2">
      <c r="A47" s="21"/>
      <c r="B47" s="38" t="s">
        <v>467</v>
      </c>
      <c r="C47" s="21" t="str">
        <f>HLOOKUP(Stats!$B$5,Info!$E$2:$DD$57,9,0)</f>
        <v>1/3</v>
      </c>
      <c r="D47" s="21" t="str">
        <f>IF(Stats!$B$6="","",HLOOKUP(Stats!$B$6,Info!$E$2:$DD$57,9,0))</f>
        <v>1/5</v>
      </c>
      <c r="E47" s="21"/>
      <c r="F47" s="21">
        <f>VLOOKUP(E47,Info!$HB$1:$HI$203,3)</f>
        <v>-15</v>
      </c>
      <c r="G47" s="21" t="s">
        <v>408</v>
      </c>
      <c r="H47" s="21">
        <f>Stats!$I$14</f>
        <v>13</v>
      </c>
      <c r="I47" s="21"/>
      <c r="J47" s="21"/>
      <c r="K47" s="76">
        <f t="shared" si="4"/>
        <v>16.990000000000002</v>
      </c>
      <c r="M47" s="261"/>
      <c r="O47" s="12">
        <f t="shared" si="3"/>
        <v>0</v>
      </c>
      <c r="P47" s="245"/>
      <c r="Q47" s="254"/>
      <c r="R47" s="285" t="str">
        <f>IF(HLOOKUP(Stats!$B$5,Info!$F$163:$DF$166,Info!$DF$165,0)="","",HLOOKUP(Stats!$B$5,Info!$F$163:$DF$166,Info!$DF$166,0))</f>
        <v/>
      </c>
      <c r="S47" s="288" t="str">
        <f>IF(Stats!$M$4="","",(IF(HLOOKUP(Stats!$B$6,Info!$F$163:$DD$166,Info!$DF$166,0)=0,"",HLOOKUP(Stats!$B$6,Info!$F$163:$DD$166,Info!$DF$166,0))))</f>
        <v/>
      </c>
      <c r="T47" s="286"/>
      <c r="U47" s="154"/>
      <c r="V47" s="33" t="str">
        <f>IF(VLOOKUP($V$2,Info!$E$258:$DK$383,Y47,0)="","",(VLOOKUP($V$2,Info!$E$258:$DK$383,Y47,0)))</f>
        <v/>
      </c>
      <c r="W47" s="33" t="str">
        <f>IF(VLOOKUP($W$2,Info!$E$258:$DK$383,Y47,0)="","",(VLOOKUP($W$2,Info!$E$258:$DK$383,Y47,0)))</f>
        <v/>
      </c>
      <c r="X47" s="33" t="str">
        <f>IF(VLOOKUP($X$2,Info!$E$258:$DK$383,Y47,0)="","",(VLOOKUP($X$2,Info!$E$258:$DK$383,Y47,0)))</f>
        <v/>
      </c>
      <c r="Y47" s="12">
        <v>46</v>
      </c>
    </row>
    <row r="48" spans="1:25" ht="12.75" customHeight="1" x14ac:dyDescent="0.2">
      <c r="A48" s="21"/>
      <c r="B48" s="38" t="s">
        <v>469</v>
      </c>
      <c r="C48" s="21" t="str">
        <f>HLOOKUP(Stats!$B$5,Info!$E$2:$DD$57,9,0)</f>
        <v>1/3</v>
      </c>
      <c r="D48" s="21" t="str">
        <f>IF(Stats!$B$6="","",HLOOKUP(Stats!$B$6,Info!$E$2:$DD$57,9,0))</f>
        <v>1/5</v>
      </c>
      <c r="E48" s="21"/>
      <c r="F48" s="21">
        <f>VLOOKUP(E48,Info!$HB$1:$HI$203,3)</f>
        <v>-15</v>
      </c>
      <c r="G48" s="21" t="s">
        <v>403</v>
      </c>
      <c r="H48" s="21">
        <f>Stats!$I$18</f>
        <v>-5</v>
      </c>
      <c r="I48" s="21"/>
      <c r="J48" s="21"/>
      <c r="K48" s="76">
        <f t="shared" si="4"/>
        <v>-1.009999999999998</v>
      </c>
      <c r="M48" s="261"/>
      <c r="O48" s="12">
        <f t="shared" si="3"/>
        <v>0</v>
      </c>
      <c r="P48" s="245"/>
      <c r="Q48" s="254"/>
      <c r="T48" s="280"/>
      <c r="U48" s="154"/>
      <c r="Y48" s="12">
        <v>47</v>
      </c>
    </row>
    <row r="49" spans="1:25" ht="12.75" customHeight="1" x14ac:dyDescent="0.2">
      <c r="A49" s="21"/>
      <c r="B49" s="38" t="s">
        <v>471</v>
      </c>
      <c r="C49" s="21" t="str">
        <f>HLOOKUP(Stats!$B$5,Info!$E$2:$DD$57,9,0)</f>
        <v>1/3</v>
      </c>
      <c r="D49" s="21" t="str">
        <f>IF(Stats!$B$6="","",HLOOKUP(Stats!$B$6,Info!$E$2:$DD$57,9,0))</f>
        <v>1/5</v>
      </c>
      <c r="E49" s="21"/>
      <c r="F49" s="21">
        <f>VLOOKUP(E49,Info!$HB$1:$HI$203,3)</f>
        <v>-15</v>
      </c>
      <c r="G49" s="21" t="s">
        <v>408</v>
      </c>
      <c r="H49" s="21">
        <f>Stats!$I$14</f>
        <v>13</v>
      </c>
      <c r="I49" s="21"/>
      <c r="J49" s="21"/>
      <c r="K49" s="76">
        <f t="shared" si="4"/>
        <v>16.990000000000002</v>
      </c>
      <c r="M49" s="261"/>
      <c r="O49" s="12">
        <f t="shared" si="3"/>
        <v>0</v>
      </c>
      <c r="P49" s="245"/>
      <c r="Q49" s="254"/>
      <c r="T49" s="280"/>
      <c r="U49" s="154" t="s">
        <v>379</v>
      </c>
      <c r="Y49" s="12">
        <v>48</v>
      </c>
    </row>
    <row r="50" spans="1:25" ht="12.75" customHeight="1" x14ac:dyDescent="0.2">
      <c r="A50" s="21"/>
      <c r="B50" s="38" t="s">
        <v>472</v>
      </c>
      <c r="C50" s="21" t="str">
        <f>HLOOKUP(Stats!$B$5,Info!$E$2:$DD$57,9,0)</f>
        <v>1/3</v>
      </c>
      <c r="D50" s="21" t="str">
        <f>IF(Stats!$B$6="","",HLOOKUP(Stats!$B$6,Info!$E$2:$DD$57,9,0))</f>
        <v>1/5</v>
      </c>
      <c r="E50" s="21"/>
      <c r="F50" s="21">
        <f>VLOOKUP(E50,Info!$HB$1:$HI$203,3)</f>
        <v>-15</v>
      </c>
      <c r="G50" s="21" t="s">
        <v>445</v>
      </c>
      <c r="H50" s="21">
        <f>Stats!$I$13</f>
        <v>-6</v>
      </c>
      <c r="I50" s="21"/>
      <c r="J50" s="21"/>
      <c r="K50" s="76">
        <f t="shared" si="4"/>
        <v>-2.009999999999998</v>
      </c>
      <c r="M50" s="261"/>
      <c r="O50" s="12">
        <f t="shared" si="3"/>
        <v>0</v>
      </c>
      <c r="P50" s="245"/>
      <c r="Q50" s="254"/>
      <c r="T50" s="280"/>
      <c r="Y50" s="12">
        <v>49</v>
      </c>
    </row>
    <row r="51" spans="1:25" ht="12.75" customHeight="1" x14ac:dyDescent="0.2">
      <c r="A51" s="21"/>
      <c r="B51" s="38" t="s">
        <v>473</v>
      </c>
      <c r="C51" s="21" t="str">
        <f>HLOOKUP(Stats!$B$5,Info!$E$2:$DD$57,9,0)</f>
        <v>1/3</v>
      </c>
      <c r="D51" s="21" t="str">
        <f>IF(Stats!$B$6="","",HLOOKUP(Stats!$B$6,Info!$E$2:$DD$57,9,0))</f>
        <v>1/5</v>
      </c>
      <c r="E51" s="21"/>
      <c r="F51" s="21">
        <f>VLOOKUP(E51,Info!$HB$1:$HI$203,3)</f>
        <v>-15</v>
      </c>
      <c r="G51" s="21" t="s">
        <v>408</v>
      </c>
      <c r="H51" s="21">
        <f>Stats!$I$14</f>
        <v>13</v>
      </c>
      <c r="I51" s="21"/>
      <c r="J51" s="21"/>
      <c r="K51" s="76">
        <f t="shared" si="4"/>
        <v>16.990000000000002</v>
      </c>
      <c r="M51" s="261"/>
      <c r="O51" s="12">
        <f t="shared" si="3"/>
        <v>0</v>
      </c>
      <c r="P51" s="245"/>
      <c r="Q51" s="254"/>
      <c r="T51" s="138"/>
      <c r="U51" s="161"/>
      <c r="Y51" s="12">
        <v>50</v>
      </c>
    </row>
    <row r="52" spans="1:25" ht="12.75" customHeight="1" x14ac:dyDescent="0.2">
      <c r="A52" s="21"/>
      <c r="B52" s="38" t="s">
        <v>474</v>
      </c>
      <c r="C52" s="21" t="str">
        <f>HLOOKUP(Stats!$B$5,Info!$E$2:$DD$57,9,0)</f>
        <v>1/3</v>
      </c>
      <c r="D52" s="21" t="str">
        <f>IF(Stats!$B$6="","",HLOOKUP(Stats!$B$6,Info!$E$2:$DD$57,9,0))</f>
        <v>1/5</v>
      </c>
      <c r="E52" s="21"/>
      <c r="F52" s="21">
        <f>VLOOKUP(E52,Info!$HB$1:$HI$203,3)</f>
        <v>-15</v>
      </c>
      <c r="G52" s="21" t="s">
        <v>445</v>
      </c>
      <c r="H52" s="21">
        <f>Stats!$I$13</f>
        <v>-6</v>
      </c>
      <c r="I52" s="21"/>
      <c r="J52" s="21"/>
      <c r="K52" s="76">
        <f t="shared" si="4"/>
        <v>-2.009999999999998</v>
      </c>
      <c r="M52" s="261"/>
      <c r="O52" s="12">
        <f t="shared" si="3"/>
        <v>0</v>
      </c>
      <c r="P52" s="245"/>
      <c r="Q52" s="254"/>
      <c r="Y52" s="12">
        <v>51</v>
      </c>
    </row>
    <row r="53" spans="1:25" ht="12.75" customHeight="1" x14ac:dyDescent="0.2">
      <c r="A53" s="21"/>
      <c r="B53" s="38" t="s">
        <v>475</v>
      </c>
      <c r="C53" s="21" t="str">
        <f>HLOOKUP(Stats!$B$5,Info!$E$2:$DD$57,9,0)</f>
        <v>1/3</v>
      </c>
      <c r="D53" s="21" t="str">
        <f>IF(Stats!$B$6="","",HLOOKUP(Stats!$B$6,Info!$E$2:$DD$57,9,0))</f>
        <v>1/5</v>
      </c>
      <c r="E53" s="21"/>
      <c r="F53" s="21">
        <f>VLOOKUP(E53,Info!$HB$1:$HI$203,3)</f>
        <v>-15</v>
      </c>
      <c r="G53" s="21" t="s">
        <v>222</v>
      </c>
      <c r="H53" s="21">
        <f>Stats!$I$15</f>
        <v>1</v>
      </c>
      <c r="I53" s="21"/>
      <c r="J53" s="21"/>
      <c r="K53" s="76">
        <f t="shared" si="4"/>
        <v>4.990000000000002</v>
      </c>
      <c r="M53" s="261"/>
      <c r="O53" s="12">
        <f t="shared" si="3"/>
        <v>0</v>
      </c>
      <c r="P53" s="245"/>
      <c r="Q53" s="254"/>
      <c r="Y53" s="12">
        <v>52</v>
      </c>
    </row>
    <row r="54" spans="1:25" ht="12.75" customHeight="1" x14ac:dyDescent="0.2">
      <c r="A54" s="97"/>
      <c r="B54" s="155" t="s">
        <v>476</v>
      </c>
      <c r="C54" s="21" t="str">
        <f>HLOOKUP(Stats!$B$5,Info!$E$2:$DD$57,9,0)</f>
        <v>1/3</v>
      </c>
      <c r="D54" s="21" t="str">
        <f>IF(Stats!$B$6="","",HLOOKUP(Stats!$B$6,Info!$E$2:$DD$57,9,0))</f>
        <v>1/5</v>
      </c>
      <c r="E54" s="21"/>
      <c r="F54" s="21">
        <f>VLOOKUP(E54,Info!$HB$1:$HI$203,3)</f>
        <v>-15</v>
      </c>
      <c r="G54" s="21" t="s">
        <v>408</v>
      </c>
      <c r="H54" s="21">
        <f>Stats!$I$14</f>
        <v>13</v>
      </c>
      <c r="I54" s="21"/>
      <c r="J54" s="21"/>
      <c r="K54" s="76">
        <f t="shared" si="4"/>
        <v>16.990000000000002</v>
      </c>
      <c r="M54" s="261"/>
      <c r="O54" s="12">
        <f t="shared" si="3"/>
        <v>0</v>
      </c>
      <c r="P54" s="245"/>
      <c r="Q54" s="254"/>
      <c r="Y54" s="12">
        <v>53</v>
      </c>
    </row>
    <row r="55" spans="1:25" ht="12.75" customHeight="1" x14ac:dyDescent="0.2">
      <c r="A55" s="116" t="s">
        <v>477</v>
      </c>
      <c r="B55" s="83"/>
      <c r="C55" s="100"/>
      <c r="D55" s="100"/>
      <c r="E55" s="153"/>
      <c r="F55" s="153"/>
      <c r="G55" s="153" t="s">
        <v>478</v>
      </c>
      <c r="H55" s="153">
        <f>Stats!I15+Stats!I22</f>
        <v>5</v>
      </c>
      <c r="I55" s="171">
        <f>IF(Stats!$M$4="",HLOOKUP(Stats!$B$5,Info!$F$59:$DD$114,Info!$DF$11,0),((HLOOKUP(Stats!$B$5,Info!$F$59:$DD$114,Info!$DF$11,0)+HLOOKUP(Stats!$B$6,Info!$F$59:$DD$114,Info!$DF$11,0))/2-0.01))</f>
        <v>7.49</v>
      </c>
      <c r="J55" s="153"/>
      <c r="K55" s="171">
        <f>F55+H55+I55+J55</f>
        <v>12.49</v>
      </c>
      <c r="M55" s="261"/>
      <c r="O55" s="12">
        <f t="shared" si="3"/>
        <v>0</v>
      </c>
      <c r="P55" s="245"/>
      <c r="Q55" s="254">
        <f>HLOOKUP(Stats!$B$2,Info!$EN$3:$GZ$48,Info!$HA$13,0)</f>
        <v>0</v>
      </c>
      <c r="Y55" s="12">
        <v>54</v>
      </c>
    </row>
    <row r="56" spans="1:25" ht="12.75" customHeight="1" x14ac:dyDescent="0.2">
      <c r="A56" s="59"/>
      <c r="B56" s="138" t="s">
        <v>479</v>
      </c>
      <c r="C56" s="21" t="str">
        <f>HLOOKUP(Stats!$B$5,Info!$E$2:$DD$57,10,0)</f>
        <v>2/5</v>
      </c>
      <c r="D56" s="21" t="str">
        <f>IF(Stats!$B$6="","",HLOOKUP(Stats!$B$6,Info!$E$2:$DD$57,10,0))</f>
        <v>2/6</v>
      </c>
      <c r="E56" s="21"/>
      <c r="F56" s="21">
        <f>VLOOKUP(E56,Info!$HB$1:$HI$203,8)</f>
        <v>0</v>
      </c>
      <c r="G56" s="21" t="s">
        <v>464</v>
      </c>
      <c r="H56" s="21">
        <f>Stats!$I$22</f>
        <v>4</v>
      </c>
      <c r="I56" s="21"/>
      <c r="J56" s="21"/>
      <c r="K56" s="76">
        <f>F56+H56+I56+J56+$K$55</f>
        <v>16.490000000000002</v>
      </c>
      <c r="M56" s="261"/>
      <c r="O56" s="12">
        <f t="shared" si="3"/>
        <v>0</v>
      </c>
      <c r="P56" s="245"/>
      <c r="Q56" s="254">
        <f>HLOOKUP(Stats!$B$2,Info!$EN$3:$GZ$48,Info!$HA$14,0)</f>
        <v>4</v>
      </c>
      <c r="S56" s="12">
        <f>HLOOKUP(Stats!$B$5,Info!$F$59:$DD$114,Info!$DF$8,0)</f>
        <v>0</v>
      </c>
      <c r="Y56" s="12">
        <v>55</v>
      </c>
    </row>
    <row r="57" spans="1:25" ht="12.75" customHeight="1" x14ac:dyDescent="0.2">
      <c r="A57" s="97"/>
      <c r="B57" s="155" t="s">
        <v>480</v>
      </c>
      <c r="C57" s="21" t="str">
        <f>HLOOKUP(Stats!$B$5,Info!$E$2:$DD$57,10,0)</f>
        <v>2/5</v>
      </c>
      <c r="D57" s="21" t="str">
        <f>IF(Stats!$B$6="","",HLOOKUP(Stats!$B$6,Info!$E$2:$DD$57,10,0))</f>
        <v>2/6</v>
      </c>
      <c r="E57" s="21"/>
      <c r="F57" s="21">
        <f>VLOOKUP(E57,Info!$HB$1:$HI$203,8)</f>
        <v>0</v>
      </c>
      <c r="G57" s="21" t="s">
        <v>481</v>
      </c>
      <c r="H57" s="21">
        <f>Stats!$I$21</f>
        <v>4</v>
      </c>
      <c r="I57" s="21"/>
      <c r="J57" s="21"/>
      <c r="K57" s="76">
        <f>F57+H57+I57+J57+$K$55</f>
        <v>16.490000000000002</v>
      </c>
      <c r="M57" s="261"/>
      <c r="O57" s="12">
        <f t="shared" si="3"/>
        <v>0</v>
      </c>
      <c r="P57" s="245"/>
      <c r="Q57" s="254"/>
      <c r="S57" s="12">
        <f>HLOOKUP(Stats!$B$6,Info!$F$59:$DD$114,Info!$DF$8,0)</f>
        <v>0</v>
      </c>
      <c r="Y57" s="12">
        <v>56</v>
      </c>
    </row>
    <row r="58" spans="1:25" ht="12.75" customHeight="1" x14ac:dyDescent="0.2">
      <c r="A58" s="116" t="s">
        <v>482</v>
      </c>
      <c r="B58" s="83"/>
      <c r="C58" s="100" t="str">
        <f>HLOOKUP(Stats!$B$5,Info!$E$2:$DD$57,11,0)</f>
        <v>1/3</v>
      </c>
      <c r="D58" s="100" t="str">
        <f>IF(Stats!$B$6="","",HLOOKUP(Stats!$B$6,Info!$E$2:$DD$57,11,0))</f>
        <v>1/5</v>
      </c>
      <c r="E58" s="153"/>
      <c r="F58" s="153">
        <f>VLOOKUP(E58,Info!$HB$1:$HI$203,2)</f>
        <v>-15</v>
      </c>
      <c r="G58" s="153" t="s">
        <v>483</v>
      </c>
      <c r="H58" s="153">
        <f>Stats!I22+Stats!I17</f>
        <v>8</v>
      </c>
      <c r="I58" s="171">
        <f>IF(Stats!$M$4="",HLOOKUP(Stats!$B$5,Info!$F$59:$DD$114,Info!$DF$12,0),((HLOOKUP(Stats!$B$5,Info!$F$59:$DD$114,Info!$DF$12,0)+HLOOKUP(Stats!$B$6,Info!$F$59:$DD$114,Info!$DF$12,0))/2-0.01))</f>
        <v>7.49</v>
      </c>
      <c r="J58" s="153"/>
      <c r="K58" s="171">
        <f>F58+H58+I58+J58</f>
        <v>0.49000000000000021</v>
      </c>
      <c r="M58" s="261"/>
      <c r="O58" s="12">
        <f t="shared" si="3"/>
        <v>0</v>
      </c>
      <c r="P58" s="245"/>
      <c r="Q58" s="254">
        <f>HLOOKUP(Stats!$B$2,Info!$EN$3:$GZ$48,Info!$HA$15,0)</f>
        <v>2</v>
      </c>
      <c r="Y58" s="12">
        <v>57</v>
      </c>
    </row>
    <row r="59" spans="1:25" ht="12.75" customHeight="1" x14ac:dyDescent="0.2">
      <c r="A59" s="59"/>
      <c r="B59" s="138" t="s">
        <v>484</v>
      </c>
      <c r="C59" s="21" t="str">
        <f>HLOOKUP(Stats!$B$5,Info!$E$2:$DD$57,11,0)</f>
        <v>1/3</v>
      </c>
      <c r="D59" s="21" t="str">
        <f>IF(Stats!$B$6="","",HLOOKUP(Stats!$B$6,Info!$E$2:$DD$57,11,0))</f>
        <v>1/5</v>
      </c>
      <c r="E59" s="21"/>
      <c r="F59" s="21">
        <f>VLOOKUP(E59,Info!$HB$1:$HI$203,3)</f>
        <v>-15</v>
      </c>
      <c r="G59" s="21" t="s">
        <v>464</v>
      </c>
      <c r="H59" s="21">
        <f>Stats!$I$22</f>
        <v>4</v>
      </c>
      <c r="I59" s="21"/>
      <c r="J59" s="21"/>
      <c r="K59" s="76">
        <f t="shared" ref="K59:K66" si="5">F59+H59+I59+J59+$K$58</f>
        <v>-10.51</v>
      </c>
      <c r="M59" s="261"/>
      <c r="O59" s="12">
        <f t="shared" si="3"/>
        <v>0</v>
      </c>
      <c r="P59" s="245"/>
      <c r="Q59" s="254"/>
      <c r="Y59" s="12">
        <v>58</v>
      </c>
    </row>
    <row r="60" spans="1:25" ht="12.75" customHeight="1" x14ac:dyDescent="0.2">
      <c r="A60" s="21"/>
      <c r="B60" s="38" t="s">
        <v>485</v>
      </c>
      <c r="C60" s="21" t="str">
        <f>HLOOKUP(Stats!$B$5,Info!$E$2:$DD$57,11,0)</f>
        <v>1/3</v>
      </c>
      <c r="D60" s="21" t="str">
        <f>IF(Stats!$B$6="","",HLOOKUP(Stats!$B$6,Info!$E$2:$DD$57,11,0))</f>
        <v>1/5</v>
      </c>
      <c r="E60" s="21"/>
      <c r="F60" s="21">
        <f>VLOOKUP(E60,Info!$HB$1:$HI$203,3)</f>
        <v>-15</v>
      </c>
      <c r="G60" s="21" t="s">
        <v>481</v>
      </c>
      <c r="H60" s="21">
        <f>Stats!$I$21</f>
        <v>4</v>
      </c>
      <c r="I60" s="21"/>
      <c r="J60" s="21"/>
      <c r="K60" s="76">
        <f t="shared" si="5"/>
        <v>-10.51</v>
      </c>
      <c r="M60" s="261"/>
      <c r="O60" s="12">
        <f t="shared" si="3"/>
        <v>0</v>
      </c>
      <c r="P60" s="245"/>
      <c r="Q60" s="254"/>
      <c r="Y60" s="12">
        <v>59</v>
      </c>
    </row>
    <row r="61" spans="1:25" ht="12.75" customHeight="1" x14ac:dyDescent="0.2">
      <c r="A61" s="21"/>
      <c r="B61" s="38" t="s">
        <v>486</v>
      </c>
      <c r="C61" s="21" t="str">
        <f>HLOOKUP(Stats!$B$5,Info!$E$2:$DD$57,11,0)</f>
        <v>1/3</v>
      </c>
      <c r="D61" s="21" t="str">
        <f>IF(Stats!$B$6="","",HLOOKUP(Stats!$B$6,Info!$E$2:$DD$57,11,0))</f>
        <v>1/5</v>
      </c>
      <c r="E61" s="21"/>
      <c r="F61" s="21">
        <f>VLOOKUP(E61,Info!$HB$1:$HI$203,3)</f>
        <v>-15</v>
      </c>
      <c r="G61" s="21" t="s">
        <v>464</v>
      </c>
      <c r="H61" s="21">
        <f>Stats!$I$22</f>
        <v>4</v>
      </c>
      <c r="I61" s="21"/>
      <c r="J61" s="21"/>
      <c r="K61" s="76">
        <f t="shared" si="5"/>
        <v>-10.51</v>
      </c>
      <c r="M61" s="261"/>
      <c r="O61" s="12">
        <f t="shared" si="3"/>
        <v>0</v>
      </c>
      <c r="P61" s="245"/>
      <c r="Q61" s="254"/>
      <c r="Y61" s="12">
        <v>60</v>
      </c>
    </row>
    <row r="62" spans="1:25" ht="12.75" customHeight="1" x14ac:dyDescent="0.2">
      <c r="A62" s="21"/>
      <c r="B62" s="38" t="s">
        <v>487</v>
      </c>
      <c r="C62" s="21" t="str">
        <f>HLOOKUP(Stats!$B$5,Info!$E$2:$DD$57,11,0)</f>
        <v>1/3</v>
      </c>
      <c r="D62" s="21" t="str">
        <f>IF(Stats!$B$6="","",HLOOKUP(Stats!$B$6,Info!$E$2:$DD$57,11,0))</f>
        <v>1/5</v>
      </c>
      <c r="E62" s="21"/>
      <c r="F62" s="21">
        <f>VLOOKUP(E62,Info!$HB$1:$HI$203,3)</f>
        <v>-15</v>
      </c>
      <c r="G62" s="21" t="s">
        <v>222</v>
      </c>
      <c r="H62" s="21">
        <f>Stats!$I$15</f>
        <v>1</v>
      </c>
      <c r="I62" s="21"/>
      <c r="J62" s="21"/>
      <c r="K62" s="76">
        <f t="shared" si="5"/>
        <v>-13.51</v>
      </c>
      <c r="M62" s="261"/>
      <c r="O62" s="12">
        <f t="shared" si="3"/>
        <v>0</v>
      </c>
      <c r="P62" s="245"/>
      <c r="Q62" s="254"/>
      <c r="Y62" s="12">
        <v>61</v>
      </c>
    </row>
    <row r="63" spans="1:25" ht="12.75" customHeight="1" x14ac:dyDescent="0.2">
      <c r="A63" s="21"/>
      <c r="B63" s="38" t="s">
        <v>488</v>
      </c>
      <c r="C63" s="21" t="str">
        <f>HLOOKUP(Stats!$B$5,Info!$E$2:$DD$57,11,0)</f>
        <v>1/3</v>
      </c>
      <c r="D63" s="21" t="str">
        <f>IF(Stats!$B$6="","",HLOOKUP(Stats!$B$6,Info!$E$2:$DD$57,11,0))</f>
        <v>1/5</v>
      </c>
      <c r="E63" s="21"/>
      <c r="F63" s="21">
        <f>VLOOKUP(E63,Info!$HB$1:$HI$203,3)</f>
        <v>-15</v>
      </c>
      <c r="G63" s="21" t="s">
        <v>418</v>
      </c>
      <c r="H63" s="21">
        <f>Stats!$I$16</f>
        <v>4</v>
      </c>
      <c r="I63" s="21"/>
      <c r="J63" s="21"/>
      <c r="K63" s="76">
        <f t="shared" si="5"/>
        <v>-10.51</v>
      </c>
      <c r="M63" s="261"/>
      <c r="O63" s="12">
        <f t="shared" si="3"/>
        <v>0</v>
      </c>
      <c r="P63" s="245"/>
      <c r="Q63" s="254"/>
      <c r="Y63" s="12">
        <v>62</v>
      </c>
    </row>
    <row r="64" spans="1:25" ht="12.75" customHeight="1" x14ac:dyDescent="0.2">
      <c r="A64" s="21"/>
      <c r="B64" s="38" t="s">
        <v>489</v>
      </c>
      <c r="C64" s="21" t="str">
        <f>HLOOKUP(Stats!$B$5,Info!$E$2:$DD$57,11,0)</f>
        <v>1/3</v>
      </c>
      <c r="D64" s="21" t="str">
        <f>IF(Stats!$B$6="","",HLOOKUP(Stats!$B$6,Info!$E$2:$DD$57,11,0))</f>
        <v>1/5</v>
      </c>
      <c r="E64" s="21"/>
      <c r="F64" s="21">
        <f>VLOOKUP(E64,Info!$HB$1:$HI$203,3)</f>
        <v>-15</v>
      </c>
      <c r="G64" s="21" t="s">
        <v>222</v>
      </c>
      <c r="H64" s="21">
        <f>Stats!$I$15</f>
        <v>1</v>
      </c>
      <c r="I64" s="21"/>
      <c r="J64" s="21"/>
      <c r="K64" s="76">
        <f t="shared" si="5"/>
        <v>-13.51</v>
      </c>
      <c r="M64" s="261"/>
      <c r="O64" s="12">
        <f t="shared" si="3"/>
        <v>0</v>
      </c>
      <c r="P64" s="245"/>
      <c r="Q64" s="254"/>
      <c r="Y64" s="12">
        <v>63</v>
      </c>
    </row>
    <row r="65" spans="1:25" ht="12.75" customHeight="1" x14ac:dyDescent="0.2">
      <c r="A65" s="97"/>
      <c r="B65" s="155" t="s">
        <v>490</v>
      </c>
      <c r="C65" s="97" t="str">
        <f>HLOOKUP(Stats!$B$5,Info!$E$2:$DD$57,11,0)</f>
        <v>1/3</v>
      </c>
      <c r="D65" s="97" t="str">
        <f>IF(Stats!$B$6="","",HLOOKUP(Stats!$B$6,Info!$E$2:$DD$57,11,0))</f>
        <v>1/5</v>
      </c>
      <c r="E65" s="97"/>
      <c r="F65" s="97">
        <f>VLOOKUP(E65,Info!$HB$1:$HI$203,3)</f>
        <v>-15</v>
      </c>
      <c r="G65" s="97" t="s">
        <v>222</v>
      </c>
      <c r="H65" s="97">
        <f>Stats!$I$15</f>
        <v>1</v>
      </c>
      <c r="I65" s="97"/>
      <c r="J65" s="97"/>
      <c r="K65" s="270">
        <f t="shared" si="5"/>
        <v>-13.51</v>
      </c>
      <c r="M65" s="261"/>
      <c r="O65" s="12">
        <f t="shared" si="3"/>
        <v>0</v>
      </c>
      <c r="P65" s="245"/>
      <c r="Q65" s="254"/>
      <c r="Y65" s="12">
        <v>64</v>
      </c>
    </row>
    <row r="66" spans="1:25" ht="12.75" customHeight="1" x14ac:dyDescent="0.2">
      <c r="A66" s="21"/>
      <c r="B66" s="38" t="s">
        <v>491</v>
      </c>
      <c r="C66" s="21" t="str">
        <f>HLOOKUP(Stats!$B$5,Info!$E$2:$DD$57,11,0)</f>
        <v>1/3</v>
      </c>
      <c r="D66" s="21" t="str">
        <f>IF(Stats!$B$6="","",HLOOKUP(Stats!$B$6,Info!$E$2:$DD$57,11,0))</f>
        <v>1/5</v>
      </c>
      <c r="E66" s="21"/>
      <c r="F66" s="21">
        <f>VLOOKUP(E66,Info!$HB$1:$HI$203,3)</f>
        <v>-15</v>
      </c>
      <c r="G66" s="21" t="s">
        <v>222</v>
      </c>
      <c r="H66" s="21">
        <f>Stats!$I$15</f>
        <v>1</v>
      </c>
      <c r="I66" s="21"/>
      <c r="J66" s="21"/>
      <c r="K66" s="76">
        <f t="shared" si="5"/>
        <v>-13.51</v>
      </c>
      <c r="M66" s="261"/>
      <c r="O66" s="12">
        <f t="shared" si="3"/>
        <v>0</v>
      </c>
      <c r="P66" s="245"/>
      <c r="Q66" s="254"/>
      <c r="Y66" s="12">
        <v>65</v>
      </c>
    </row>
    <row r="67" spans="1:25" ht="12.75" customHeight="1" x14ac:dyDescent="0.2">
      <c r="A67" s="312" t="s">
        <v>385</v>
      </c>
      <c r="B67" s="312"/>
      <c r="C67" s="17" t="s">
        <v>4130</v>
      </c>
      <c r="D67" s="17" t="s">
        <v>4131</v>
      </c>
      <c r="E67" s="17" t="s">
        <v>386</v>
      </c>
      <c r="F67" s="17" t="s">
        <v>387</v>
      </c>
      <c r="G67" s="17" t="s">
        <v>388</v>
      </c>
      <c r="H67" s="147" t="s">
        <v>389</v>
      </c>
      <c r="I67" s="17" t="s">
        <v>390</v>
      </c>
      <c r="J67" s="148" t="s">
        <v>207</v>
      </c>
      <c r="K67" s="148" t="s">
        <v>209</v>
      </c>
      <c r="M67" s="261"/>
      <c r="O67" s="12" t="s">
        <v>386</v>
      </c>
      <c r="P67" s="245"/>
      <c r="Q67" s="254"/>
      <c r="Y67" s="12">
        <v>66</v>
      </c>
    </row>
    <row r="68" spans="1:25" ht="12.75" customHeight="1" x14ac:dyDescent="0.2">
      <c r="A68" s="162" t="s">
        <v>492</v>
      </c>
      <c r="B68" s="163"/>
      <c r="C68" s="60" t="str">
        <f>HLOOKUP(Stats!$B$5,Info!$E$2:$DD$57,12,0)</f>
        <v>2/5</v>
      </c>
      <c r="D68" s="100" t="str">
        <f>IF(Stats!$B$6="","",HLOOKUP(Stats!$B$6,Info!$E$2:$DD$57,12,0))</f>
        <v>2/6</v>
      </c>
      <c r="E68" s="42"/>
      <c r="F68" s="42">
        <f>VLOOKUP(E68,Info!$HB$1:$HI$203,2)</f>
        <v>-15</v>
      </c>
      <c r="G68" s="42" t="s">
        <v>478</v>
      </c>
      <c r="H68" s="42">
        <f>Stats!I22+Stats!I15</f>
        <v>5</v>
      </c>
      <c r="I68" s="171">
        <f>IF(Stats!$M$4="",HLOOKUP(Stats!$B$5,Info!$F$59:$DD$114,Info!$DF$13,0),((HLOOKUP(Stats!$B$5,Info!$F$59:$DD$114,Info!$DF$13,0)+HLOOKUP(Stats!$B$6,Info!$F$59:$DD$114,Info!$DF$13,0))/2-0.01))</f>
        <v>7.49</v>
      </c>
      <c r="J68" s="42"/>
      <c r="K68" s="271">
        <f>F68+H68+I68+J68</f>
        <v>-2.5099999999999998</v>
      </c>
      <c r="M68" s="261"/>
      <c r="O68" s="12">
        <f t="shared" ref="O68:O99" si="6">E68+M68</f>
        <v>0</v>
      </c>
      <c r="P68" s="245"/>
      <c r="Q68" s="254"/>
      <c r="Y68" s="12">
        <v>67</v>
      </c>
    </row>
    <row r="69" spans="1:25" ht="12.75" customHeight="1" x14ac:dyDescent="0.2">
      <c r="A69" s="59"/>
      <c r="B69" s="138" t="s">
        <v>493</v>
      </c>
      <c r="C69" s="21" t="str">
        <f>HLOOKUP(Stats!$B$5,Info!$E$2:$DD$57,12,0)</f>
        <v>2/5</v>
      </c>
      <c r="D69" s="21" t="str">
        <f>IF(Stats!$B$6="","",HLOOKUP(Stats!$B$6,Info!$E$2:$DD$57,12,0))</f>
        <v>2/6</v>
      </c>
      <c r="E69" s="21"/>
      <c r="F69" s="21">
        <f>VLOOKUP(E69,Info!$HB$1:$HI$203,3)</f>
        <v>-15</v>
      </c>
      <c r="G69" s="21" t="s">
        <v>464</v>
      </c>
      <c r="H69" s="21">
        <f>Stats!$I$22</f>
        <v>4</v>
      </c>
      <c r="I69" s="21"/>
      <c r="J69" s="21"/>
      <c r="K69" s="76">
        <f t="shared" ref="K69:K79" si="7">F69+H69+I69+J69+$K$68</f>
        <v>-13.51</v>
      </c>
      <c r="M69" s="261"/>
      <c r="O69" s="12">
        <f t="shared" si="6"/>
        <v>0</v>
      </c>
      <c r="P69" s="245"/>
      <c r="Q69" s="254"/>
      <c r="Y69" s="12">
        <v>68</v>
      </c>
    </row>
    <row r="70" spans="1:25" ht="12.75" customHeight="1" x14ac:dyDescent="0.2">
      <c r="A70" s="21"/>
      <c r="B70" s="38" t="s">
        <v>494</v>
      </c>
      <c r="C70" s="21" t="str">
        <f>HLOOKUP(Stats!$B$5,Info!$E$2:$DD$57,12,0)</f>
        <v>2/5</v>
      </c>
      <c r="D70" s="21" t="str">
        <f>IF(Stats!$B$6="","",HLOOKUP(Stats!$B$6,Info!$E$2:$DD$57,12,0))</f>
        <v>2/6</v>
      </c>
      <c r="E70" s="21"/>
      <c r="F70" s="21">
        <f>VLOOKUP(E70,Info!$HB$1:$HI$203,3)</f>
        <v>-15</v>
      </c>
      <c r="G70" s="21" t="s">
        <v>464</v>
      </c>
      <c r="H70" s="21">
        <f>Stats!$I$22</f>
        <v>4</v>
      </c>
      <c r="I70" s="21"/>
      <c r="J70" s="21"/>
      <c r="K70" s="76">
        <f t="shared" si="7"/>
        <v>-13.51</v>
      </c>
      <c r="M70" s="261"/>
      <c r="O70" s="12">
        <f t="shared" si="6"/>
        <v>0</v>
      </c>
      <c r="P70" s="245"/>
      <c r="Q70" s="254"/>
      <c r="Y70" s="12">
        <v>69</v>
      </c>
    </row>
    <row r="71" spans="1:25" ht="12.75" customHeight="1" x14ac:dyDescent="0.2">
      <c r="A71" s="21"/>
      <c r="B71" s="38" t="s">
        <v>497</v>
      </c>
      <c r="C71" s="21" t="str">
        <f>HLOOKUP(Stats!$B$5,Info!$E$2:$DD$57,12,0)</f>
        <v>2/5</v>
      </c>
      <c r="D71" s="21" t="str">
        <f>IF(Stats!$B$6="","",HLOOKUP(Stats!$B$6,Info!$E$2:$DD$57,12,0))</f>
        <v>2/6</v>
      </c>
      <c r="E71" s="21"/>
      <c r="F71" s="21">
        <f>VLOOKUP(E71,Info!$HB$1:$HI$203,3)</f>
        <v>-15</v>
      </c>
      <c r="G71" s="21" t="s">
        <v>428</v>
      </c>
      <c r="H71" s="21">
        <f>Stats!$I$20</f>
        <v>-6</v>
      </c>
      <c r="I71" s="21"/>
      <c r="J71" s="21"/>
      <c r="K71" s="76">
        <f t="shared" si="7"/>
        <v>-23.509999999999998</v>
      </c>
      <c r="M71" s="261"/>
      <c r="O71" s="12">
        <f t="shared" si="6"/>
        <v>0</v>
      </c>
      <c r="P71" s="245"/>
      <c r="Q71" s="254"/>
      <c r="Y71" s="12">
        <v>70</v>
      </c>
    </row>
    <row r="72" spans="1:25" ht="12.75" customHeight="1" x14ac:dyDescent="0.2">
      <c r="A72" s="21"/>
      <c r="B72" s="38" t="s">
        <v>498</v>
      </c>
      <c r="C72" s="21" t="str">
        <f>HLOOKUP(Stats!$B$5,Info!$E$2:$DD$57,12,0)</f>
        <v>2/5</v>
      </c>
      <c r="D72" s="21" t="str">
        <f>IF(Stats!$B$6="","",HLOOKUP(Stats!$B$6,Info!$E$2:$DD$57,12,0))</f>
        <v>2/6</v>
      </c>
      <c r="E72" s="21"/>
      <c r="F72" s="21">
        <f>VLOOKUP(E72,Info!$HB$1:$HI$203,3)</f>
        <v>-15</v>
      </c>
      <c r="G72" s="21" t="s">
        <v>428</v>
      </c>
      <c r="H72" s="21">
        <f>Stats!$I$20</f>
        <v>-6</v>
      </c>
      <c r="I72" s="21"/>
      <c r="J72" s="21"/>
      <c r="K72" s="76">
        <f t="shared" si="7"/>
        <v>-23.509999999999998</v>
      </c>
      <c r="M72" s="261"/>
      <c r="O72" s="12">
        <f t="shared" si="6"/>
        <v>0</v>
      </c>
      <c r="P72" s="245"/>
      <c r="Q72" s="254"/>
      <c r="Y72" s="12">
        <v>71</v>
      </c>
    </row>
    <row r="73" spans="1:25" ht="12.75" customHeight="1" x14ac:dyDescent="0.2">
      <c r="A73" s="21"/>
      <c r="B73" s="38" t="s">
        <v>499</v>
      </c>
      <c r="C73" s="21" t="str">
        <f>HLOOKUP(Stats!$B$5,Info!$E$2:$DD$57,12,0)</f>
        <v>2/5</v>
      </c>
      <c r="D73" s="21" t="str">
        <f>IF(Stats!$B$6="","",HLOOKUP(Stats!$B$6,Info!$E$2:$DD$57,12,0))</f>
        <v>2/6</v>
      </c>
      <c r="E73" s="21"/>
      <c r="F73" s="21">
        <f>VLOOKUP(E73,Info!$HB$1:$HI$203,3)</f>
        <v>-15</v>
      </c>
      <c r="G73" s="21" t="s">
        <v>428</v>
      </c>
      <c r="H73" s="21">
        <f>Stats!$I$20</f>
        <v>-6</v>
      </c>
      <c r="I73" s="21"/>
      <c r="J73" s="21"/>
      <c r="K73" s="76">
        <f t="shared" si="7"/>
        <v>-23.509999999999998</v>
      </c>
      <c r="M73" s="261"/>
      <c r="O73" s="12">
        <f t="shared" si="6"/>
        <v>0</v>
      </c>
      <c r="P73" s="245"/>
      <c r="Q73" s="254"/>
      <c r="Y73" s="12">
        <v>72</v>
      </c>
    </row>
    <row r="74" spans="1:25" ht="12.75" customHeight="1" x14ac:dyDescent="0.2">
      <c r="A74" s="21"/>
      <c r="B74" s="38" t="s">
        <v>500</v>
      </c>
      <c r="C74" s="21" t="str">
        <f>HLOOKUP(Stats!$B$5,Info!$E$2:$DD$57,12,0)</f>
        <v>2/5</v>
      </c>
      <c r="D74" s="21" t="str">
        <f>IF(Stats!$B$6="","",HLOOKUP(Stats!$B$6,Info!$E$2:$DD$57,12,0))</f>
        <v>2/6</v>
      </c>
      <c r="E74" s="21"/>
      <c r="F74" s="21">
        <f>VLOOKUP(E74,Info!$HB$1:$HI$203,3)</f>
        <v>-15</v>
      </c>
      <c r="G74" s="21" t="s">
        <v>428</v>
      </c>
      <c r="H74" s="21">
        <f>Stats!$I$20</f>
        <v>-6</v>
      </c>
      <c r="I74" s="21"/>
      <c r="J74" s="21"/>
      <c r="K74" s="76">
        <f t="shared" si="7"/>
        <v>-23.509999999999998</v>
      </c>
      <c r="M74" s="261"/>
      <c r="O74" s="12">
        <f t="shared" si="6"/>
        <v>0</v>
      </c>
      <c r="P74" s="245"/>
      <c r="Q74" s="254"/>
      <c r="Y74" s="12">
        <v>73</v>
      </c>
    </row>
    <row r="75" spans="1:25" ht="12.75" customHeight="1" x14ac:dyDescent="0.2">
      <c r="A75" s="21"/>
      <c r="B75" s="38" t="s">
        <v>501</v>
      </c>
      <c r="C75" s="21" t="str">
        <f>HLOOKUP(Stats!$B$5,Info!$E$2:$DD$57,12,0)</f>
        <v>2/5</v>
      </c>
      <c r="D75" s="21" t="str">
        <f>IF(Stats!$B$6="","",HLOOKUP(Stats!$B$6,Info!$E$2:$DD$57,12,0))</f>
        <v>2/6</v>
      </c>
      <c r="E75" s="21"/>
      <c r="F75" s="21">
        <f>VLOOKUP(E75,Info!$HB$1:$HI$203,3)</f>
        <v>-15</v>
      </c>
      <c r="G75" s="21" t="s">
        <v>428</v>
      </c>
      <c r="H75" s="21">
        <f>Stats!$I$20</f>
        <v>-6</v>
      </c>
      <c r="I75" s="21"/>
      <c r="J75" s="21"/>
      <c r="K75" s="76">
        <f t="shared" si="7"/>
        <v>-23.509999999999998</v>
      </c>
      <c r="M75" s="261"/>
      <c r="O75" s="12">
        <f t="shared" si="6"/>
        <v>0</v>
      </c>
      <c r="P75" s="245"/>
      <c r="Q75" s="254"/>
      <c r="Y75" s="12">
        <v>74</v>
      </c>
    </row>
    <row r="76" spans="1:25" ht="12.75" customHeight="1" x14ac:dyDescent="0.2">
      <c r="A76" s="21"/>
      <c r="B76" s="38" t="s">
        <v>502</v>
      </c>
      <c r="C76" s="21" t="str">
        <f>HLOOKUP(Stats!$B$5,Info!$E$2:$DD$57,12,0)</f>
        <v>2/5</v>
      </c>
      <c r="D76" s="21" t="str">
        <f>IF(Stats!$B$6="","",HLOOKUP(Stats!$B$6,Info!$E$2:$DD$57,12,0))</f>
        <v>2/6</v>
      </c>
      <c r="E76" s="21"/>
      <c r="F76" s="21">
        <f>VLOOKUP(E76,Info!$HB$1:$HI$203,3)</f>
        <v>-15</v>
      </c>
      <c r="G76" s="21" t="s">
        <v>464</v>
      </c>
      <c r="H76" s="21">
        <f>Stats!$I$22</f>
        <v>4</v>
      </c>
      <c r="I76" s="21"/>
      <c r="J76" s="21"/>
      <c r="K76" s="76">
        <f t="shared" si="7"/>
        <v>-13.51</v>
      </c>
      <c r="M76" s="261"/>
      <c r="O76" s="12">
        <f t="shared" si="6"/>
        <v>0</v>
      </c>
      <c r="P76" s="245"/>
      <c r="Q76" s="254"/>
      <c r="Y76" s="12">
        <v>75</v>
      </c>
    </row>
    <row r="77" spans="1:25" ht="12.75" customHeight="1" x14ac:dyDescent="0.2">
      <c r="A77" s="21"/>
      <c r="B77" s="38" t="s">
        <v>503</v>
      </c>
      <c r="C77" s="21" t="str">
        <f>HLOOKUP(Stats!$B$5,Info!$E$2:$DD$57,12,0)</f>
        <v>2/5</v>
      </c>
      <c r="D77" s="21" t="str">
        <f>IF(Stats!$B$6="","",HLOOKUP(Stats!$B$6,Info!$E$2:$DD$57,12,0))</f>
        <v>2/6</v>
      </c>
      <c r="E77" s="21"/>
      <c r="F77" s="21">
        <f>VLOOKUP(E77,Info!$HB$1:$HI$203,3)</f>
        <v>-15</v>
      </c>
      <c r="G77" s="21" t="s">
        <v>464</v>
      </c>
      <c r="H77" s="21">
        <f>Stats!$I$22</f>
        <v>4</v>
      </c>
      <c r="I77" s="21"/>
      <c r="J77" s="21"/>
      <c r="K77" s="76">
        <f t="shared" si="7"/>
        <v>-13.51</v>
      </c>
      <c r="M77" s="261"/>
      <c r="O77" s="12">
        <f t="shared" si="6"/>
        <v>0</v>
      </c>
      <c r="P77" s="245"/>
      <c r="Q77" s="254"/>
      <c r="Y77" s="12">
        <v>76</v>
      </c>
    </row>
    <row r="78" spans="1:25" ht="12.75" customHeight="1" x14ac:dyDescent="0.2">
      <c r="A78" s="164" t="s">
        <v>495</v>
      </c>
      <c r="B78" s="165" t="s">
        <v>504</v>
      </c>
      <c r="C78" s="21" t="str">
        <f>HLOOKUP(Stats!$B$5,Info!$E$2:$DD$57,12,0)</f>
        <v>2/5</v>
      </c>
      <c r="D78" s="21" t="str">
        <f>IF(Stats!$B$6="","",HLOOKUP(Stats!$B$6,Info!$E$2:$DD$57,12,0))</f>
        <v>2/6</v>
      </c>
      <c r="E78" s="21"/>
      <c r="F78" s="21">
        <f>VLOOKUP(E78,Info!$HB$1:$HI$203,3)</f>
        <v>-15</v>
      </c>
      <c r="G78" s="21" t="s">
        <v>428</v>
      </c>
      <c r="H78" s="21">
        <f>Stats!$I$20</f>
        <v>-6</v>
      </c>
      <c r="I78" s="21"/>
      <c r="J78" s="21"/>
      <c r="K78" s="76">
        <f t="shared" si="7"/>
        <v>-23.509999999999998</v>
      </c>
      <c r="M78" s="261"/>
      <c r="O78" s="12">
        <f t="shared" si="6"/>
        <v>0</v>
      </c>
      <c r="P78" s="245"/>
      <c r="Q78" s="254"/>
      <c r="Y78" s="12">
        <v>77</v>
      </c>
    </row>
    <row r="79" spans="1:25" ht="12.75" customHeight="1" x14ac:dyDescent="0.2">
      <c r="A79" s="97"/>
      <c r="B79" s="155" t="s">
        <v>505</v>
      </c>
      <c r="C79" s="21" t="str">
        <f>HLOOKUP(Stats!$B$5,Info!$E$2:$DD$57,12,0)</f>
        <v>2/5</v>
      </c>
      <c r="D79" s="21" t="str">
        <f>IF(Stats!$B$6="","",HLOOKUP(Stats!$B$6,Info!$E$2:$DD$57,12,0))</f>
        <v>2/6</v>
      </c>
      <c r="E79" s="21"/>
      <c r="F79" s="21">
        <f>VLOOKUP(E79,Info!$HB$1:$HI$203,3)</f>
        <v>-15</v>
      </c>
      <c r="G79" s="21" t="s">
        <v>481</v>
      </c>
      <c r="H79" s="21">
        <f>Stats!$I$21</f>
        <v>4</v>
      </c>
      <c r="I79" s="21"/>
      <c r="J79" s="21"/>
      <c r="K79" s="76">
        <f t="shared" si="7"/>
        <v>-13.51</v>
      </c>
      <c r="M79" s="261"/>
      <c r="O79" s="12">
        <f t="shared" si="6"/>
        <v>0</v>
      </c>
      <c r="P79" s="245"/>
      <c r="Q79" s="254"/>
      <c r="Y79" s="12">
        <v>78</v>
      </c>
    </row>
    <row r="80" spans="1:25" ht="12.75" customHeight="1" x14ac:dyDescent="0.2">
      <c r="A80" s="116" t="s">
        <v>506</v>
      </c>
      <c r="B80" s="83"/>
      <c r="C80" s="100"/>
      <c r="D80" s="100"/>
      <c r="E80" s="153"/>
      <c r="F80" s="153"/>
      <c r="G80" s="153" t="s">
        <v>507</v>
      </c>
      <c r="H80" s="153">
        <f>Stats!I13+Stats!I15</f>
        <v>-5</v>
      </c>
      <c r="I80" s="171">
        <f>IF(Stats!$M$4="",HLOOKUP(Stats!$B$5,Info!$F$59:$DD$114,Info!$DF$14,0),((HLOOKUP(Stats!$B$5,Info!$F$59:$DD$114,Info!$DF$14,0)+HLOOKUP(Stats!$B$6,Info!$F$59:$DD$114,Info!$DF$14,0))/2-0.01))</f>
        <v>4.99</v>
      </c>
      <c r="J80" s="153">
        <v>10</v>
      </c>
      <c r="K80" s="171">
        <f>F80+H80+I80+J80</f>
        <v>9.99</v>
      </c>
      <c r="M80" s="261"/>
      <c r="O80" s="12">
        <f t="shared" si="6"/>
        <v>0</v>
      </c>
      <c r="P80" s="245"/>
      <c r="Q80" s="254"/>
      <c r="Y80" s="12">
        <v>79</v>
      </c>
    </row>
    <row r="81" spans="1:25" ht="12.75" customHeight="1" x14ac:dyDescent="0.2">
      <c r="A81" s="56"/>
      <c r="B81" s="44" t="s">
        <v>506</v>
      </c>
      <c r="C81" s="21" t="str">
        <f>HLOOKUP(Stats!$B$5,Info!$E$2:$DD$57,13,0)</f>
        <v>5/12</v>
      </c>
      <c r="D81" s="21" t="str">
        <f>IF(Stats!$B$6="","",HLOOKUP(Stats!$B$6,Info!$E$2:$DD$57,13,0))</f>
        <v>3/9</v>
      </c>
      <c r="E81" s="21"/>
      <c r="F81" s="21">
        <f>VLOOKUP(E81,Info!$HB$1:$HI$203,6)</f>
        <v>0</v>
      </c>
      <c r="G81" s="21" t="s">
        <v>445</v>
      </c>
      <c r="H81" s="21">
        <f>Stats!$I$13</f>
        <v>-6</v>
      </c>
      <c r="I81" s="21"/>
      <c r="J81" s="21"/>
      <c r="K81" s="76">
        <f>F81+H81+I81+J81+K80</f>
        <v>3.99</v>
      </c>
      <c r="M81" s="261"/>
      <c r="O81" s="12">
        <f t="shared" si="6"/>
        <v>0</v>
      </c>
      <c r="P81" s="245"/>
      <c r="Q81" s="254">
        <f>HLOOKUP(Stats!$B$2,Info!$EN$3:$GZ$48,Info!$HA$16,0)</f>
        <v>1</v>
      </c>
      <c r="Y81" s="12">
        <v>80</v>
      </c>
    </row>
    <row r="82" spans="1:25" ht="12.75" customHeight="1" x14ac:dyDescent="0.2">
      <c r="A82" s="116" t="s">
        <v>508</v>
      </c>
      <c r="B82" s="83"/>
      <c r="C82" s="100"/>
      <c r="D82" s="100"/>
      <c r="E82" s="153"/>
      <c r="F82" s="153"/>
      <c r="G82" s="153" t="s">
        <v>455</v>
      </c>
      <c r="H82" s="153">
        <f>Stats!I14+Stats!I19</f>
        <v>29</v>
      </c>
      <c r="I82" s="171">
        <f>IF(Stats!$M$4="",HLOOKUP(Stats!$B$5,Info!$F$59:$DD$114,Info!$DF$15,0),((HLOOKUP(Stats!$B$5,Info!$F$59:$DD$114,Info!$DF$15,0)+HLOOKUP(Stats!$B$6,Info!$F$59:$DD$114,Info!$DF$15,0))/2-0.01))</f>
        <v>2.4900000000000002</v>
      </c>
      <c r="J82" s="153"/>
      <c r="K82" s="171">
        <f>F82+H82+I82+J82</f>
        <v>31.490000000000002</v>
      </c>
      <c r="M82" s="261"/>
      <c r="O82" s="12">
        <f t="shared" si="6"/>
        <v>0</v>
      </c>
      <c r="P82" s="245"/>
      <c r="Q82" s="254"/>
      <c r="Y82" s="12">
        <v>81</v>
      </c>
    </row>
    <row r="83" spans="1:25" ht="12.75" customHeight="1" x14ac:dyDescent="0.2">
      <c r="A83" s="166" t="s">
        <v>495</v>
      </c>
      <c r="B83" s="160" t="s">
        <v>509</v>
      </c>
      <c r="C83" s="21" t="str">
        <f>HLOOKUP(Stats!$B$5,Info!$E$2:$DD$57,14,0)</f>
        <v>4/12</v>
      </c>
      <c r="D83" s="21" t="str">
        <f>IF(Stats!$B$6="","",HLOOKUP(Stats!$B$6,Info!$E$2:$DD$57,14,0))</f>
        <v>4/10</v>
      </c>
      <c r="E83" s="21"/>
      <c r="F83" s="21">
        <f>VLOOKUP(E83,Info!$HB$1:$HI$203,5)</f>
        <v>-30</v>
      </c>
      <c r="G83" s="21" t="s">
        <v>222</v>
      </c>
      <c r="H83" s="21">
        <f>Stats!$I$15</f>
        <v>1</v>
      </c>
      <c r="I83" s="21"/>
      <c r="J83" s="21"/>
      <c r="K83" s="76">
        <f t="shared" ref="K83:K92" si="8">F83+H83+I83+J83+$K$82</f>
        <v>2.490000000000002</v>
      </c>
      <c r="M83" s="261"/>
      <c r="O83" s="12">
        <f t="shared" si="6"/>
        <v>0</v>
      </c>
      <c r="P83" s="245"/>
      <c r="Q83" s="254"/>
      <c r="Y83" s="12">
        <v>82</v>
      </c>
    </row>
    <row r="84" spans="1:25" ht="12.75" customHeight="1" x14ac:dyDescent="0.2">
      <c r="A84" s="21"/>
      <c r="B84" s="38" t="s">
        <v>510</v>
      </c>
      <c r="C84" s="21" t="str">
        <f>HLOOKUP(Stats!$B$5,Info!$E$2:$DD$57,14,0)</f>
        <v>4/12</v>
      </c>
      <c r="D84" s="21" t="str">
        <f>IF(Stats!$B$6="","",HLOOKUP(Stats!$B$6,Info!$E$2:$DD$57,14,0))</f>
        <v>4/10</v>
      </c>
      <c r="E84" s="21"/>
      <c r="F84" s="21">
        <f>VLOOKUP(E84,Info!$HB$1:$HI$203,5)</f>
        <v>-30</v>
      </c>
      <c r="G84" s="21" t="s">
        <v>481</v>
      </c>
      <c r="H84" s="21">
        <f>Stats!$I$21</f>
        <v>4</v>
      </c>
      <c r="I84" s="21"/>
      <c r="J84" s="21"/>
      <c r="K84" s="76">
        <f t="shared" si="8"/>
        <v>5.490000000000002</v>
      </c>
      <c r="M84" s="261"/>
      <c r="O84" s="12">
        <f t="shared" si="6"/>
        <v>0</v>
      </c>
      <c r="P84" s="245"/>
      <c r="Q84" s="254"/>
      <c r="Y84" s="12">
        <v>83</v>
      </c>
    </row>
    <row r="85" spans="1:25" ht="12.75" customHeight="1" x14ac:dyDescent="0.2">
      <c r="A85" s="21"/>
      <c r="B85" s="38" t="s">
        <v>511</v>
      </c>
      <c r="C85" s="21" t="str">
        <f>HLOOKUP(Stats!$B$5,Info!$E$2:$DD$57,14,0)</f>
        <v>4/12</v>
      </c>
      <c r="D85" s="21" t="str">
        <f>IF(Stats!$B$6="","",HLOOKUP(Stats!$B$6,Info!$E$2:$DD$57,14,0))</f>
        <v>4/10</v>
      </c>
      <c r="E85" s="21"/>
      <c r="F85" s="21">
        <f>VLOOKUP(E85,Info!$HB$1:$HI$203,5)</f>
        <v>-30</v>
      </c>
      <c r="G85" s="21" t="s">
        <v>222</v>
      </c>
      <c r="H85" s="21">
        <f>Stats!$I$15</f>
        <v>1</v>
      </c>
      <c r="I85" s="21"/>
      <c r="J85" s="21"/>
      <c r="K85" s="76">
        <f t="shared" si="8"/>
        <v>2.490000000000002</v>
      </c>
      <c r="M85" s="261"/>
      <c r="O85" s="12">
        <f t="shared" si="6"/>
        <v>0</v>
      </c>
      <c r="P85" s="245"/>
      <c r="Q85" s="254"/>
      <c r="Y85" s="12">
        <v>84</v>
      </c>
    </row>
    <row r="86" spans="1:25" ht="12.75" customHeight="1" x14ac:dyDescent="0.2">
      <c r="A86" s="21"/>
      <c r="B86" s="38" t="s">
        <v>512</v>
      </c>
      <c r="C86" s="21" t="str">
        <f>HLOOKUP(Stats!$B$5,Info!$E$2:$DD$57,14,0)</f>
        <v>4/12</v>
      </c>
      <c r="D86" s="21" t="str">
        <f>IF(Stats!$B$6="","",HLOOKUP(Stats!$B$6,Info!$E$2:$DD$57,14,0))</f>
        <v>4/10</v>
      </c>
      <c r="E86" s="21"/>
      <c r="F86" s="21">
        <f>VLOOKUP(E86,Info!$HB$1:$HI$203,5)</f>
        <v>-30</v>
      </c>
      <c r="G86" s="21" t="s">
        <v>428</v>
      </c>
      <c r="H86" s="21">
        <f>Stats!$I$20</f>
        <v>-6</v>
      </c>
      <c r="I86" s="21"/>
      <c r="J86" s="21"/>
      <c r="K86" s="76">
        <f t="shared" si="8"/>
        <v>-4.509999999999998</v>
      </c>
      <c r="M86" s="261"/>
      <c r="O86" s="12">
        <f t="shared" si="6"/>
        <v>0</v>
      </c>
      <c r="P86" s="245"/>
      <c r="Q86" s="254"/>
      <c r="Y86" s="12">
        <v>85</v>
      </c>
    </row>
    <row r="87" spans="1:25" ht="12.75" customHeight="1" x14ac:dyDescent="0.2">
      <c r="A87" s="21"/>
      <c r="B87" s="38" t="s">
        <v>513</v>
      </c>
      <c r="C87" s="21" t="str">
        <f>HLOOKUP(Stats!$B$5,Info!$E$2:$DD$57,14,0)</f>
        <v>4/12</v>
      </c>
      <c r="D87" s="21" t="str">
        <f>IF(Stats!$B$6="","",HLOOKUP(Stats!$B$6,Info!$E$2:$DD$57,14,0))</f>
        <v>4/10</v>
      </c>
      <c r="E87" s="21"/>
      <c r="F87" s="21">
        <f>VLOOKUP(E87,Info!$HB$1:$HI$203,5)</f>
        <v>-30</v>
      </c>
      <c r="G87" s="21" t="s">
        <v>222</v>
      </c>
      <c r="H87" s="21">
        <f>Stats!$I$15</f>
        <v>1</v>
      </c>
      <c r="I87" s="21"/>
      <c r="J87" s="21"/>
      <c r="K87" s="76">
        <f t="shared" si="8"/>
        <v>2.490000000000002</v>
      </c>
      <c r="M87" s="261"/>
      <c r="O87" s="12">
        <f t="shared" si="6"/>
        <v>0</v>
      </c>
      <c r="P87" s="245"/>
      <c r="Q87" s="254"/>
      <c r="Y87" s="12">
        <v>86</v>
      </c>
    </row>
    <row r="88" spans="1:25" ht="12.75" customHeight="1" x14ac:dyDescent="0.2">
      <c r="A88" s="21"/>
      <c r="B88" s="38" t="s">
        <v>514</v>
      </c>
      <c r="C88" s="21" t="str">
        <f>HLOOKUP(Stats!$B$5,Info!$E$2:$DD$57,14,0)</f>
        <v>4/12</v>
      </c>
      <c r="D88" s="21" t="str">
        <f>IF(Stats!$B$6="","",HLOOKUP(Stats!$B$6,Info!$E$2:$DD$57,14,0))</f>
        <v>4/10</v>
      </c>
      <c r="E88" s="21"/>
      <c r="F88" s="21">
        <f>VLOOKUP(E88,Info!$HB$1:$HI$203,5)</f>
        <v>-30</v>
      </c>
      <c r="G88" s="21" t="s">
        <v>428</v>
      </c>
      <c r="H88" s="21">
        <f>Stats!$I$20</f>
        <v>-6</v>
      </c>
      <c r="I88" s="21"/>
      <c r="J88" s="21"/>
      <c r="K88" s="76">
        <f t="shared" si="8"/>
        <v>-4.509999999999998</v>
      </c>
      <c r="M88" s="261"/>
      <c r="O88" s="12">
        <f t="shared" si="6"/>
        <v>0</v>
      </c>
      <c r="P88" s="245"/>
      <c r="Q88" s="254"/>
      <c r="Y88" s="12">
        <v>87</v>
      </c>
    </row>
    <row r="89" spans="1:25" ht="12.75" customHeight="1" x14ac:dyDescent="0.2">
      <c r="A89" s="164" t="s">
        <v>495</v>
      </c>
      <c r="B89" s="165" t="s">
        <v>515</v>
      </c>
      <c r="C89" s="21" t="str">
        <f>HLOOKUP(Stats!$B$5,Info!$E$2:$DD$57,14,0)</f>
        <v>4/12</v>
      </c>
      <c r="D89" s="21" t="str">
        <f>IF(Stats!$B$6="","",HLOOKUP(Stats!$B$6,Info!$E$2:$DD$57,14,0))</f>
        <v>4/10</v>
      </c>
      <c r="E89" s="21"/>
      <c r="F89" s="21">
        <f>VLOOKUP(E89,Info!$HB$1:$HI$203,5)</f>
        <v>-30</v>
      </c>
      <c r="G89" s="21" t="s">
        <v>408</v>
      </c>
      <c r="H89" s="21">
        <f>Stats!$I$14</f>
        <v>13</v>
      </c>
      <c r="I89" s="21"/>
      <c r="J89" s="21"/>
      <c r="K89" s="76">
        <f t="shared" si="8"/>
        <v>14.490000000000002</v>
      </c>
      <c r="M89" s="261"/>
      <c r="O89" s="12">
        <f t="shared" si="6"/>
        <v>0</v>
      </c>
      <c r="P89" s="245"/>
      <c r="Q89" s="254"/>
      <c r="Y89" s="12">
        <v>88</v>
      </c>
    </row>
    <row r="90" spans="1:25" ht="12.75" customHeight="1" x14ac:dyDescent="0.2">
      <c r="A90" s="21"/>
      <c r="B90" s="38" t="s">
        <v>516</v>
      </c>
      <c r="C90" s="21" t="str">
        <f>HLOOKUP(Stats!$B$5,Info!$E$2:$DD$57,14,0)</f>
        <v>4/12</v>
      </c>
      <c r="D90" s="21" t="str">
        <f>IF(Stats!$B$6="","",HLOOKUP(Stats!$B$6,Info!$E$2:$DD$57,14,0))</f>
        <v>4/10</v>
      </c>
      <c r="E90" s="21"/>
      <c r="F90" s="21">
        <f>VLOOKUP(E90,Info!$HB$1:$HI$203,5)</f>
        <v>-30</v>
      </c>
      <c r="G90" s="21" t="s">
        <v>222</v>
      </c>
      <c r="H90" s="21">
        <f>Stats!$I$15</f>
        <v>1</v>
      </c>
      <c r="I90" s="21"/>
      <c r="J90" s="21"/>
      <c r="K90" s="76">
        <f t="shared" si="8"/>
        <v>2.490000000000002</v>
      </c>
      <c r="M90" s="261"/>
      <c r="O90" s="12">
        <f t="shared" si="6"/>
        <v>0</v>
      </c>
      <c r="P90" s="245"/>
      <c r="Q90" s="254"/>
      <c r="Y90" s="12">
        <v>89</v>
      </c>
    </row>
    <row r="91" spans="1:25" ht="12.75" customHeight="1" x14ac:dyDescent="0.2">
      <c r="A91" s="21"/>
      <c r="B91" s="38" t="s">
        <v>516</v>
      </c>
      <c r="C91" s="21" t="str">
        <f>HLOOKUP(Stats!$B$5,Info!$E$2:$DD$57,14,0)</f>
        <v>4/12</v>
      </c>
      <c r="D91" s="21" t="str">
        <f>IF(Stats!$B$6="","",HLOOKUP(Stats!$B$6,Info!$E$2:$DD$57,14,0))</f>
        <v>4/10</v>
      </c>
      <c r="E91" s="21"/>
      <c r="F91" s="21">
        <f>VLOOKUP(E91,Info!$HB$1:$HI$203,5)</f>
        <v>-30</v>
      </c>
      <c r="G91" s="21" t="s">
        <v>222</v>
      </c>
      <c r="H91" s="21">
        <f>Stats!$I$15</f>
        <v>1</v>
      </c>
      <c r="I91" s="21"/>
      <c r="J91" s="21"/>
      <c r="K91" s="76">
        <f t="shared" si="8"/>
        <v>2.490000000000002</v>
      </c>
      <c r="M91" s="261"/>
      <c r="O91" s="12">
        <f t="shared" si="6"/>
        <v>0</v>
      </c>
      <c r="P91" s="245"/>
      <c r="Q91" s="254"/>
      <c r="Y91" s="12">
        <v>90</v>
      </c>
    </row>
    <row r="92" spans="1:25" ht="12.75" customHeight="1" x14ac:dyDescent="0.2">
      <c r="A92" s="97"/>
      <c r="B92" s="155" t="s">
        <v>516</v>
      </c>
      <c r="C92" s="21" t="str">
        <f>HLOOKUP(Stats!$B$5,Info!$E$2:$DD$57,14,0)</f>
        <v>4/12</v>
      </c>
      <c r="D92" s="21" t="str">
        <f>IF(Stats!$B$6="","",HLOOKUP(Stats!$B$6,Info!$E$2:$DD$57,14,0))</f>
        <v>4/10</v>
      </c>
      <c r="E92" s="21"/>
      <c r="F92" s="21">
        <f>VLOOKUP(E92,Info!$HB$1:$HI$203,5)</f>
        <v>-30</v>
      </c>
      <c r="G92" s="21" t="s">
        <v>222</v>
      </c>
      <c r="H92" s="21">
        <f>Stats!$I$15</f>
        <v>1</v>
      </c>
      <c r="I92" s="21"/>
      <c r="J92" s="21"/>
      <c r="K92" s="76">
        <f t="shared" si="8"/>
        <v>2.490000000000002</v>
      </c>
      <c r="M92" s="261"/>
      <c r="O92" s="12">
        <f t="shared" si="6"/>
        <v>0</v>
      </c>
      <c r="P92" s="245"/>
      <c r="Q92" s="254"/>
      <c r="Y92" s="12">
        <v>91</v>
      </c>
    </row>
    <row r="93" spans="1:25" ht="12.75" customHeight="1" x14ac:dyDescent="0.2">
      <c r="A93" s="116" t="s">
        <v>517</v>
      </c>
      <c r="B93" s="83"/>
      <c r="C93" s="100" t="str">
        <f>HLOOKUP(Stats!$B$5,Info!$E$2:$DD$57,15,0)</f>
        <v>3/3/3</v>
      </c>
      <c r="D93" s="100" t="str">
        <f>IF(Stats!$B$6="","",HLOOKUP(Stats!$B$6,Info!$E$2:$DD$57,15,0))</f>
        <v>3/3/3</v>
      </c>
      <c r="E93" s="153"/>
      <c r="F93" s="153">
        <f>VLOOKUP(E93,Info!$HB$1:$HI$203,2)</f>
        <v>-15</v>
      </c>
      <c r="G93" s="153" t="s">
        <v>518</v>
      </c>
      <c r="H93" s="153">
        <f>Stats!$I$17+Stats!$I$16</f>
        <v>8</v>
      </c>
      <c r="I93" s="171">
        <f>IF(Stats!$M$4="",HLOOKUP(Stats!$B$5,Info!$F$59:$DD$114,Info!$DF$16,0),((HLOOKUP(Stats!$B$5,Info!$F$59:$DD$114,Info!$DF$16,0)+HLOOKUP(Stats!$B$6,Info!$F$59:$DD$114,Info!$DF$16,0))/2-0.01))</f>
        <v>-0.01</v>
      </c>
      <c r="J93" s="153"/>
      <c r="K93" s="171">
        <f>F93+H93+I93+J93</f>
        <v>-7.01</v>
      </c>
      <c r="M93" s="261"/>
      <c r="O93" s="12">
        <f t="shared" si="6"/>
        <v>0</v>
      </c>
      <c r="P93" s="245"/>
      <c r="Q93" s="254">
        <f>HLOOKUP(Stats!$B$2,Info!$EN$3:$GZ$48,Info!$HA$17,0)</f>
        <v>1</v>
      </c>
      <c r="Y93" s="12">
        <v>92</v>
      </c>
    </row>
    <row r="94" spans="1:25" ht="12.75" customHeight="1" x14ac:dyDescent="0.2">
      <c r="A94" s="138" t="s">
        <v>519</v>
      </c>
      <c r="B94" s="167" t="str">
        <f>HLOOKUP(Stats!$B$2,Info!$EO$128:$GZ$152,Info!HA129,0)</f>
        <v>Gnomish</v>
      </c>
      <c r="C94" s="21" t="str">
        <f>HLOOKUP(Stats!$B$5,Info!$E$2:$DD$57,15,0)</f>
        <v>3/3/3</v>
      </c>
      <c r="D94" s="21" t="str">
        <f>IF(Stats!$B$6="","",HLOOKUP(Stats!$B$6,Info!$E$2:$DD$57,15,0))</f>
        <v>3/3/3</v>
      </c>
      <c r="E94" s="21">
        <f>HLOOKUP(Stats!$B$2,Info!$EO$128:$GZ$152,Info!HA141,0)</f>
        <v>8</v>
      </c>
      <c r="F94" s="21">
        <f>VLOOKUP(E94,Info!$HB$1:$HI$203,3)</f>
        <v>24</v>
      </c>
      <c r="G94" s="21" t="s">
        <v>481</v>
      </c>
      <c r="H94" s="21">
        <f>Stats!$I$21</f>
        <v>4</v>
      </c>
      <c r="I94" s="21"/>
      <c r="J94" s="21"/>
      <c r="K94" s="76">
        <f t="shared" ref="K94:K108" si="9">F94+H94+I94+J94+$K$93</f>
        <v>20.990000000000002</v>
      </c>
      <c r="M94" s="261"/>
      <c r="O94" s="12">
        <f t="shared" si="6"/>
        <v>8</v>
      </c>
      <c r="P94" s="245"/>
      <c r="Q94" s="254">
        <f t="shared" ref="Q94:Q103" si="10">E94</f>
        <v>8</v>
      </c>
      <c r="Y94" s="12">
        <v>93</v>
      </c>
    </row>
    <row r="95" spans="1:25" ht="12.75" customHeight="1" x14ac:dyDescent="0.2">
      <c r="A95" s="38" t="s">
        <v>520</v>
      </c>
      <c r="B95" s="20" t="str">
        <f>HLOOKUP(Stats!$B$2,Info!$EO$128:$GZ$152,Info!HA130,0)</f>
        <v>Gnomish</v>
      </c>
      <c r="C95" s="21" t="str">
        <f>HLOOKUP(Stats!$B$5,Info!$E$2:$DD$57,15,0)</f>
        <v>3/3/3</v>
      </c>
      <c r="D95" s="21" t="str">
        <f>IF(Stats!$B$6="","",HLOOKUP(Stats!$B$6,Info!$E$2:$DD$57,15,0))</f>
        <v>3/3/3</v>
      </c>
      <c r="E95" s="21">
        <f>HLOOKUP(Stats!$B$2,Info!$EO$128:$GZ$152,Info!HA142,0)</f>
        <v>8</v>
      </c>
      <c r="F95" s="21">
        <f>VLOOKUP(E95,Info!$HB$1:$HI$203,3)</f>
        <v>24</v>
      </c>
      <c r="G95" s="21" t="s">
        <v>481</v>
      </c>
      <c r="H95" s="21">
        <f>Stats!$I$21</f>
        <v>4</v>
      </c>
      <c r="I95" s="21"/>
      <c r="J95" s="21"/>
      <c r="K95" s="76">
        <f t="shared" si="9"/>
        <v>20.990000000000002</v>
      </c>
      <c r="M95" s="261"/>
      <c r="O95" s="12">
        <f t="shared" si="6"/>
        <v>8</v>
      </c>
      <c r="P95" s="245"/>
      <c r="Q95" s="254">
        <f t="shared" si="10"/>
        <v>8</v>
      </c>
      <c r="Y95" s="12">
        <v>94</v>
      </c>
    </row>
    <row r="96" spans="1:25" ht="12.75" customHeight="1" x14ac:dyDescent="0.2">
      <c r="A96" s="38" t="s">
        <v>519</v>
      </c>
      <c r="B96" s="20" t="str">
        <f>HLOOKUP(Stats!$B$2,Info!$EO$128:$GZ$152,Info!HA131,0)</f>
        <v>Common</v>
      </c>
      <c r="C96" s="21" t="str">
        <f>HLOOKUP(Stats!$B$5,Info!$E$2:$DD$57,15,0)</f>
        <v>3/3/3</v>
      </c>
      <c r="D96" s="21" t="str">
        <f>IF(Stats!$B$6="","",HLOOKUP(Stats!$B$6,Info!$E$2:$DD$57,15,0))</f>
        <v>3/3/3</v>
      </c>
      <c r="E96" s="21">
        <f>HLOOKUP(Stats!$B$2,Info!$EO$128:$GZ$152,Info!HA143,0)</f>
        <v>7</v>
      </c>
      <c r="F96" s="21">
        <f>VLOOKUP(E96,Info!$HB$1:$HI$203,3)</f>
        <v>21</v>
      </c>
      <c r="G96" s="21" t="s">
        <v>481</v>
      </c>
      <c r="H96" s="21">
        <f>Stats!$I$21</f>
        <v>4</v>
      </c>
      <c r="I96" s="21"/>
      <c r="J96" s="21"/>
      <c r="K96" s="76">
        <f t="shared" si="9"/>
        <v>17.990000000000002</v>
      </c>
      <c r="M96" s="261"/>
      <c r="O96" s="12">
        <f t="shared" si="6"/>
        <v>7</v>
      </c>
      <c r="P96" s="245"/>
      <c r="Q96" s="254">
        <f t="shared" si="10"/>
        <v>7</v>
      </c>
      <c r="Y96" s="12">
        <v>95</v>
      </c>
    </row>
    <row r="97" spans="1:25" ht="12.75" customHeight="1" x14ac:dyDescent="0.2">
      <c r="A97" s="38" t="s">
        <v>520</v>
      </c>
      <c r="B97" s="20" t="str">
        <f>HLOOKUP(Stats!$B$2,Info!$EO$128:$GZ$152,Info!HA132,0)</f>
        <v>Common</v>
      </c>
      <c r="C97" s="21" t="str">
        <f>HLOOKUP(Stats!$B$5,Info!$E$2:$DD$57,15,0)</f>
        <v>3/3/3</v>
      </c>
      <c r="D97" s="21" t="str">
        <f>IF(Stats!$B$6="","",HLOOKUP(Stats!$B$6,Info!$E$2:$DD$57,15,0))</f>
        <v>3/3/3</v>
      </c>
      <c r="E97" s="21">
        <f>HLOOKUP(Stats!$B$2,Info!$EO$128:$GZ$152,Info!HA144,0)</f>
        <v>7</v>
      </c>
      <c r="F97" s="21">
        <f>VLOOKUP(E97,Info!$HB$1:$HI$203,3)</f>
        <v>21</v>
      </c>
      <c r="G97" s="21" t="s">
        <v>481</v>
      </c>
      <c r="H97" s="21">
        <f>Stats!$I$21</f>
        <v>4</v>
      </c>
      <c r="I97" s="21"/>
      <c r="J97" s="21"/>
      <c r="K97" s="76">
        <f t="shared" si="9"/>
        <v>17.990000000000002</v>
      </c>
      <c r="M97" s="261"/>
      <c r="O97" s="12">
        <f t="shared" si="6"/>
        <v>7</v>
      </c>
      <c r="P97" s="245"/>
      <c r="Q97" s="254">
        <f t="shared" si="10"/>
        <v>7</v>
      </c>
      <c r="Y97" s="12">
        <v>96</v>
      </c>
    </row>
    <row r="98" spans="1:25" ht="12.75" customHeight="1" x14ac:dyDescent="0.2">
      <c r="A98" s="38" t="s">
        <v>519</v>
      </c>
      <c r="B98" s="20">
        <f>HLOOKUP(Stats!$B$2,Info!$EO$128:$GZ$152,Info!HA133,0)</f>
        <v>0</v>
      </c>
      <c r="C98" s="21" t="str">
        <f>HLOOKUP(Stats!$B$5,Info!$E$2:$DD$57,15,0)</f>
        <v>3/3/3</v>
      </c>
      <c r="D98" s="21" t="str">
        <f>IF(Stats!$B$6="","",HLOOKUP(Stats!$B$6,Info!$E$2:$DD$57,15,0))</f>
        <v>3/3/3</v>
      </c>
      <c r="E98" s="21">
        <f>HLOOKUP(Stats!$B$2,Info!$EO$128:$GZ$152,Info!HA145,0)</f>
        <v>0</v>
      </c>
      <c r="F98" s="21">
        <f>VLOOKUP(E98,Info!$HB$1:$HI$203,3)</f>
        <v>-15</v>
      </c>
      <c r="G98" s="21" t="s">
        <v>481</v>
      </c>
      <c r="H98" s="21">
        <f>Stats!$I$21</f>
        <v>4</v>
      </c>
      <c r="I98" s="21"/>
      <c r="J98" s="21"/>
      <c r="K98" s="76">
        <f t="shared" si="9"/>
        <v>-18.009999999999998</v>
      </c>
      <c r="M98" s="261"/>
      <c r="O98" s="12">
        <f t="shared" si="6"/>
        <v>0</v>
      </c>
      <c r="P98" s="245"/>
      <c r="Q98" s="254">
        <f t="shared" si="10"/>
        <v>0</v>
      </c>
      <c r="Y98" s="12">
        <v>97</v>
      </c>
    </row>
    <row r="99" spans="1:25" ht="12.75" customHeight="1" x14ac:dyDescent="0.2">
      <c r="A99" s="38" t="s">
        <v>520</v>
      </c>
      <c r="B99" s="20">
        <f>HLOOKUP(Stats!$B$2,Info!$EO$128:$GZ$152,Info!HA134,0)</f>
        <v>0</v>
      </c>
      <c r="C99" s="21" t="str">
        <f>HLOOKUP(Stats!$B$5,Info!$E$2:$DD$57,15,0)</f>
        <v>3/3/3</v>
      </c>
      <c r="D99" s="21" t="str">
        <f>IF(Stats!$B$6="","",HLOOKUP(Stats!$B$6,Info!$E$2:$DD$57,15,0))</f>
        <v>3/3/3</v>
      </c>
      <c r="E99" s="21">
        <f>HLOOKUP(Stats!$B$2,Info!$EO$128:$GZ$152,Info!HA146,0)</f>
        <v>0</v>
      </c>
      <c r="F99" s="21">
        <f>VLOOKUP(E99,Info!$HB$1:$HI$203,3)</f>
        <v>-15</v>
      </c>
      <c r="G99" s="21" t="s">
        <v>481</v>
      </c>
      <c r="H99" s="21">
        <f>Stats!$I$21</f>
        <v>4</v>
      </c>
      <c r="I99" s="21"/>
      <c r="J99" s="21"/>
      <c r="K99" s="76">
        <f t="shared" si="9"/>
        <v>-18.009999999999998</v>
      </c>
      <c r="M99" s="261"/>
      <c r="O99" s="12">
        <f t="shared" si="6"/>
        <v>0</v>
      </c>
      <c r="P99" s="245"/>
      <c r="Q99" s="254">
        <f t="shared" si="10"/>
        <v>0</v>
      </c>
      <c r="Y99" s="12">
        <v>98</v>
      </c>
    </row>
    <row r="100" spans="1:25" ht="12.75" customHeight="1" x14ac:dyDescent="0.2">
      <c r="A100" s="38" t="s">
        <v>519</v>
      </c>
      <c r="B100" s="20">
        <f>HLOOKUP(Stats!$B$2,Info!$EO$128:$GZ$152,Info!HA135,0)</f>
        <v>0</v>
      </c>
      <c r="C100" s="21" t="str">
        <f>HLOOKUP(Stats!$B$5,Info!$E$2:$DD$57,15,0)</f>
        <v>3/3/3</v>
      </c>
      <c r="D100" s="21" t="str">
        <f>IF(Stats!$B$6="","",HLOOKUP(Stats!$B$6,Info!$E$2:$DD$57,15,0))</f>
        <v>3/3/3</v>
      </c>
      <c r="E100" s="21">
        <f>HLOOKUP(Stats!$B$2,Info!$EO$128:$GZ$152,Info!HA147,0)</f>
        <v>0</v>
      </c>
      <c r="F100" s="21">
        <f>VLOOKUP(E100,Info!$HB$1:$HI$203,3)</f>
        <v>-15</v>
      </c>
      <c r="G100" s="21" t="s">
        <v>481</v>
      </c>
      <c r="H100" s="21">
        <f>Stats!$I$21</f>
        <v>4</v>
      </c>
      <c r="I100" s="21"/>
      <c r="J100" s="21"/>
      <c r="K100" s="76">
        <f t="shared" si="9"/>
        <v>-18.009999999999998</v>
      </c>
      <c r="M100" s="261"/>
      <c r="O100" s="12">
        <f t="shared" ref="O100:O134" si="11">E100+M100</f>
        <v>0</v>
      </c>
      <c r="P100" s="245"/>
      <c r="Q100" s="254">
        <f t="shared" si="10"/>
        <v>0</v>
      </c>
      <c r="Y100" s="12">
        <v>99</v>
      </c>
    </row>
    <row r="101" spans="1:25" ht="12.75" customHeight="1" x14ac:dyDescent="0.2">
      <c r="A101" s="38" t="s">
        <v>520</v>
      </c>
      <c r="B101" s="20">
        <f>HLOOKUP(Stats!$B$2,Info!$EO$128:$GZ$152,Info!HA136,0)</f>
        <v>0</v>
      </c>
      <c r="C101" s="21" t="str">
        <f>HLOOKUP(Stats!$B$5,Info!$E$2:$DD$57,15,0)</f>
        <v>3/3/3</v>
      </c>
      <c r="D101" s="21" t="str">
        <f>IF(Stats!$B$6="","",HLOOKUP(Stats!$B$6,Info!$E$2:$DD$57,15,0))</f>
        <v>3/3/3</v>
      </c>
      <c r="E101" s="21">
        <f>HLOOKUP(Stats!$B$2,Info!$EO$128:$GZ$152,Info!HA148,0)</f>
        <v>0</v>
      </c>
      <c r="F101" s="21">
        <f>VLOOKUP(E101,Info!$HB$1:$HI$203,3)</f>
        <v>-15</v>
      </c>
      <c r="G101" s="21" t="s">
        <v>481</v>
      </c>
      <c r="H101" s="21">
        <f>Stats!$I$21</f>
        <v>4</v>
      </c>
      <c r="I101" s="21"/>
      <c r="J101" s="21"/>
      <c r="K101" s="76">
        <f t="shared" si="9"/>
        <v>-18.009999999999998</v>
      </c>
      <c r="M101" s="261"/>
      <c r="O101" s="12">
        <f t="shared" si="11"/>
        <v>0</v>
      </c>
      <c r="P101" s="245"/>
      <c r="Q101" s="254">
        <f t="shared" si="10"/>
        <v>0</v>
      </c>
      <c r="Y101" s="12">
        <v>100</v>
      </c>
    </row>
    <row r="102" spans="1:25" ht="12.75" customHeight="1" x14ac:dyDescent="0.2">
      <c r="A102" s="38" t="s">
        <v>519</v>
      </c>
      <c r="B102" s="20">
        <f>HLOOKUP(Stats!$B$2,Info!$EO$128:$GZ$152,Info!HA137,0)</f>
        <v>0</v>
      </c>
      <c r="C102" s="21" t="str">
        <f>HLOOKUP(Stats!$B$5,Info!$E$2:$DD$57,15,0)</f>
        <v>3/3/3</v>
      </c>
      <c r="D102" s="21" t="str">
        <f>IF(Stats!$B$6="","",HLOOKUP(Stats!$B$6,Info!$E$2:$DD$57,15,0))</f>
        <v>3/3/3</v>
      </c>
      <c r="E102" s="21">
        <f>HLOOKUP(Stats!$B$2,Info!$EO$128:$GZ$152,Info!HA149,0)</f>
        <v>0</v>
      </c>
      <c r="F102" s="21">
        <f>VLOOKUP(E102,Info!$HB$1:$HI$203,3)</f>
        <v>-15</v>
      </c>
      <c r="G102" s="21" t="s">
        <v>481</v>
      </c>
      <c r="H102" s="21">
        <f>Stats!$I$21</f>
        <v>4</v>
      </c>
      <c r="I102" s="21"/>
      <c r="J102" s="21"/>
      <c r="K102" s="76">
        <f t="shared" si="9"/>
        <v>-18.009999999999998</v>
      </c>
      <c r="M102" s="261"/>
      <c r="O102" s="12">
        <f t="shared" si="11"/>
        <v>0</v>
      </c>
      <c r="P102" s="245"/>
      <c r="Q102" s="254">
        <f t="shared" si="10"/>
        <v>0</v>
      </c>
      <c r="Y102" s="12">
        <v>101</v>
      </c>
    </row>
    <row r="103" spans="1:25" ht="12.75" customHeight="1" x14ac:dyDescent="0.2">
      <c r="A103" s="38" t="s">
        <v>520</v>
      </c>
      <c r="B103" s="20">
        <f>HLOOKUP(Stats!$B$2,Info!$EO$128:$GZ$152,Info!HA138,0)</f>
        <v>0</v>
      </c>
      <c r="C103" s="21" t="str">
        <f>HLOOKUP(Stats!$B$5,Info!$E$2:$DD$57,15,0)</f>
        <v>3/3/3</v>
      </c>
      <c r="D103" s="21" t="str">
        <f>IF(Stats!$B$6="","",HLOOKUP(Stats!$B$6,Info!$E$2:$DD$57,15,0))</f>
        <v>3/3/3</v>
      </c>
      <c r="E103" s="21">
        <f>HLOOKUP(Stats!$B$2,Info!$EO$128:$GZ$152,Info!HA150,0)</f>
        <v>0</v>
      </c>
      <c r="F103" s="21">
        <f>VLOOKUP(E103,Info!$HB$1:$HI$203,3)</f>
        <v>-15</v>
      </c>
      <c r="G103" s="21" t="s">
        <v>481</v>
      </c>
      <c r="H103" s="21">
        <f>Stats!$I$21</f>
        <v>4</v>
      </c>
      <c r="I103" s="21"/>
      <c r="J103" s="21"/>
      <c r="K103" s="76">
        <f t="shared" si="9"/>
        <v>-18.009999999999998</v>
      </c>
      <c r="M103" s="261"/>
      <c r="O103" s="12">
        <f t="shared" si="11"/>
        <v>0</v>
      </c>
      <c r="P103" s="245"/>
      <c r="Q103" s="254">
        <f t="shared" si="10"/>
        <v>0</v>
      </c>
      <c r="Y103" s="12">
        <v>102</v>
      </c>
    </row>
    <row r="104" spans="1:25" ht="12.75" customHeight="1" x14ac:dyDescent="0.2">
      <c r="A104" s="38" t="s">
        <v>519</v>
      </c>
      <c r="B104" s="20">
        <f>HLOOKUP(Stats!$B$2,Info!$EO$128:$GZ$152,Info!HA139,0)</f>
        <v>0</v>
      </c>
      <c r="C104" s="21" t="str">
        <f>HLOOKUP(Stats!$B$5,Info!$E$2:$DD$57,15,0)</f>
        <v>3/3/3</v>
      </c>
      <c r="D104" s="21" t="str">
        <f>IF(Stats!$B$6="","",HLOOKUP(Stats!$B$6,Info!$E$2:$DD$57,15,0))</f>
        <v>3/3/3</v>
      </c>
      <c r="E104" s="21">
        <f>HLOOKUP(Stats!$B$2,Info!$EO$128:$GZ$152,Info!HA151,0)</f>
        <v>0</v>
      </c>
      <c r="F104" s="21">
        <f>VLOOKUP(E104,Info!$HB$1:$HI$203,3)</f>
        <v>-15</v>
      </c>
      <c r="G104" s="21" t="s">
        <v>481</v>
      </c>
      <c r="H104" s="21">
        <f>Stats!$I$21</f>
        <v>4</v>
      </c>
      <c r="I104" s="21"/>
      <c r="J104" s="21"/>
      <c r="K104" s="76">
        <f t="shared" si="9"/>
        <v>-18.009999999999998</v>
      </c>
      <c r="M104" s="261"/>
      <c r="O104" s="12">
        <f t="shared" si="11"/>
        <v>0</v>
      </c>
      <c r="P104" s="245"/>
      <c r="Q104" s="254"/>
      <c r="Y104" s="12">
        <v>103</v>
      </c>
    </row>
    <row r="105" spans="1:25" ht="12.75" customHeight="1" x14ac:dyDescent="0.2">
      <c r="A105" s="38" t="s">
        <v>520</v>
      </c>
      <c r="B105" s="20">
        <f>HLOOKUP(Stats!$B$2,Info!$EO$128:$GZ$152,Info!HA140,0)</f>
        <v>0</v>
      </c>
      <c r="C105" s="21" t="str">
        <f>HLOOKUP(Stats!$B$5,Info!$E$2:$DD$57,15,0)</f>
        <v>3/3/3</v>
      </c>
      <c r="D105" s="21" t="str">
        <f>IF(Stats!$B$6="","",HLOOKUP(Stats!$B$6,Info!$E$2:$DD$57,15,0))</f>
        <v>3/3/3</v>
      </c>
      <c r="E105" s="21">
        <f>HLOOKUP(Stats!$B$2,Info!$EO$128:$GZ$152,Info!HA152,0)</f>
        <v>0</v>
      </c>
      <c r="F105" s="21">
        <f>VLOOKUP(E105,Info!$HB$1:$HI$203,3)</f>
        <v>-15</v>
      </c>
      <c r="G105" s="21" t="s">
        <v>481</v>
      </c>
      <c r="H105" s="21">
        <f>Stats!$I$21</f>
        <v>4</v>
      </c>
      <c r="I105" s="21"/>
      <c r="J105" s="21"/>
      <c r="K105" s="76">
        <f t="shared" si="9"/>
        <v>-18.009999999999998</v>
      </c>
      <c r="M105" s="261"/>
      <c r="O105" s="12">
        <f t="shared" si="11"/>
        <v>0</v>
      </c>
      <c r="P105" s="245"/>
      <c r="Q105" s="254">
        <f>HLOOKUP(Stats!$B$2,Info!$EN$3:$GZ$48,Info!$HA$18,0)</f>
        <v>8</v>
      </c>
      <c r="R105" s="12" t="s">
        <v>521</v>
      </c>
      <c r="Y105" s="12">
        <v>104</v>
      </c>
    </row>
    <row r="106" spans="1:25" ht="12.75" customHeight="1" x14ac:dyDescent="0.2">
      <c r="A106" s="21"/>
      <c r="B106" s="38" t="s">
        <v>522</v>
      </c>
      <c r="C106" s="21" t="str">
        <f>HLOOKUP(Stats!$B$5,Info!$E$2:$DD$57,15,0)</f>
        <v>3/3/3</v>
      </c>
      <c r="D106" s="21" t="str">
        <f>IF(Stats!$B$6="","",HLOOKUP(Stats!$B$6,Info!$E$2:$DD$57,15,0))</f>
        <v>3/3/3</v>
      </c>
      <c r="E106" s="21"/>
      <c r="F106" s="21">
        <f>VLOOKUP(E106,Info!$HB$1:$HI$203,3)</f>
        <v>-15</v>
      </c>
      <c r="G106" s="21" t="s">
        <v>222</v>
      </c>
      <c r="H106" s="21">
        <f>Stats!$I$15</f>
        <v>1</v>
      </c>
      <c r="I106" s="21"/>
      <c r="J106" s="21"/>
      <c r="K106" s="76">
        <f t="shared" si="9"/>
        <v>-21.009999999999998</v>
      </c>
      <c r="M106" s="261"/>
      <c r="O106" s="12">
        <f t="shared" si="11"/>
        <v>0</v>
      </c>
      <c r="P106" s="245"/>
      <c r="Q106" s="254"/>
      <c r="Y106" s="12">
        <v>105</v>
      </c>
    </row>
    <row r="107" spans="1:25" ht="12.75" customHeight="1" x14ac:dyDescent="0.2">
      <c r="A107" s="164" t="s">
        <v>495</v>
      </c>
      <c r="B107" s="165" t="s">
        <v>523</v>
      </c>
      <c r="C107" s="21" t="str">
        <f>HLOOKUP(Stats!$B$5,Info!$E$2:$DD$57,15,0)</f>
        <v>3/3/3</v>
      </c>
      <c r="D107" s="21" t="str">
        <f>IF(Stats!$B$6="","",HLOOKUP(Stats!$B$6,Info!$E$2:$DD$57,15,0))</f>
        <v>3/3/3</v>
      </c>
      <c r="E107" s="21"/>
      <c r="F107" s="21">
        <f>VLOOKUP(E107,Info!$HB$1:$HI$203,3)</f>
        <v>-15</v>
      </c>
      <c r="G107" s="21" t="s">
        <v>222</v>
      </c>
      <c r="H107" s="21">
        <f>Stats!$I$15</f>
        <v>1</v>
      </c>
      <c r="I107" s="21"/>
      <c r="J107" s="21"/>
      <c r="K107" s="76">
        <f t="shared" si="9"/>
        <v>-21.009999999999998</v>
      </c>
      <c r="M107" s="261"/>
      <c r="O107" s="12">
        <f t="shared" si="11"/>
        <v>0</v>
      </c>
      <c r="P107" s="245"/>
      <c r="Q107" s="254"/>
      <c r="Y107" s="12">
        <v>106</v>
      </c>
    </row>
    <row r="108" spans="1:25" ht="12.75" customHeight="1" x14ac:dyDescent="0.2">
      <c r="A108" s="97"/>
      <c r="B108" s="155" t="s">
        <v>524</v>
      </c>
      <c r="C108" s="21" t="str">
        <f>HLOOKUP(Stats!$B$5,Info!$E$2:$DD$57,15,0)</f>
        <v>3/3/3</v>
      </c>
      <c r="D108" s="21" t="str">
        <f>IF(Stats!$B$6="","",HLOOKUP(Stats!$B$6,Info!$E$2:$DD$57,15,0))</f>
        <v>3/3/3</v>
      </c>
      <c r="E108" s="21"/>
      <c r="F108" s="21">
        <f>VLOOKUP(E108,Info!$HB$1:$HI$203,3)</f>
        <v>-15</v>
      </c>
      <c r="G108" s="21" t="s">
        <v>418</v>
      </c>
      <c r="H108" s="21">
        <f>Stats!$I$16</f>
        <v>4</v>
      </c>
      <c r="I108" s="21"/>
      <c r="J108" s="21"/>
      <c r="K108" s="76">
        <f t="shared" si="9"/>
        <v>-18.009999999999998</v>
      </c>
      <c r="M108" s="261"/>
      <c r="O108" s="12">
        <f t="shared" si="11"/>
        <v>0</v>
      </c>
      <c r="P108" s="245"/>
      <c r="Q108" s="254"/>
      <c r="Y108" s="12">
        <v>107</v>
      </c>
    </row>
    <row r="109" spans="1:25" ht="12.75" customHeight="1" x14ac:dyDescent="0.2">
      <c r="A109" s="116" t="s">
        <v>525</v>
      </c>
      <c r="B109" s="83"/>
      <c r="C109" s="100"/>
      <c r="D109" s="100"/>
      <c r="E109" s="153"/>
      <c r="F109" s="153"/>
      <c r="G109" s="153" t="s">
        <v>526</v>
      </c>
      <c r="H109" s="153">
        <f>Stats!I14+Stats!I16</f>
        <v>17</v>
      </c>
      <c r="I109" s="171">
        <f>IF(Stats!$M$4="",HLOOKUP(Stats!$B$5,Info!$F$59:$DD$114,Info!$DF$17,0),((HLOOKUP(Stats!$B$5,Info!$F$59:$DD$114,Info!$DF$17,0)+HLOOKUP(Stats!$B$6,Info!$F$59:$DD$114,Info!$DF$17,0))/2-0.01))</f>
        <v>-0.01</v>
      </c>
      <c r="J109" s="153"/>
      <c r="K109" s="171">
        <f>F109+H109+I109+J109</f>
        <v>16.989999999999998</v>
      </c>
      <c r="M109" s="261"/>
      <c r="O109" s="12">
        <f t="shared" si="11"/>
        <v>0</v>
      </c>
      <c r="P109" s="245"/>
      <c r="Q109" s="254"/>
      <c r="Y109" s="12">
        <v>108</v>
      </c>
    </row>
    <row r="110" spans="1:25" ht="12.75" customHeight="1" x14ac:dyDescent="0.2">
      <c r="A110" s="59"/>
      <c r="B110" s="138" t="s">
        <v>527</v>
      </c>
      <c r="C110" s="21" t="str">
        <f>HLOOKUP(Stats!$B$5,Info!$E$2:$DD$57,16,0)</f>
        <v>4/10</v>
      </c>
      <c r="D110" s="21" t="str">
        <f>IF(Stats!$B$6="","",HLOOKUP(Stats!$B$6,Info!$E$2:$DD$57,16,0))</f>
        <v>4/10</v>
      </c>
      <c r="E110" s="21"/>
      <c r="F110" s="21">
        <f>VLOOKUP(E110,Info!$HB$1:$HI$203,5)</f>
        <v>-30</v>
      </c>
      <c r="G110" s="21" t="s">
        <v>464</v>
      </c>
      <c r="H110" s="21">
        <f>Stats!$I$22</f>
        <v>4</v>
      </c>
      <c r="I110" s="21"/>
      <c r="J110" s="21"/>
      <c r="K110" s="76">
        <f t="shared" ref="K110:K128" si="12">F110+H110+I110+J110+$K$109</f>
        <v>-9.0100000000000016</v>
      </c>
      <c r="M110" s="261"/>
      <c r="O110" s="12">
        <f t="shared" si="11"/>
        <v>0</v>
      </c>
      <c r="P110" s="245"/>
      <c r="Q110" s="254"/>
      <c r="Y110" s="12">
        <v>109</v>
      </c>
    </row>
    <row r="111" spans="1:25" ht="12.75" customHeight="1" x14ac:dyDescent="0.2">
      <c r="A111" s="21"/>
      <c r="B111" s="38" t="s">
        <v>528</v>
      </c>
      <c r="C111" s="21" t="str">
        <f>HLOOKUP(Stats!$B$5,Info!$E$2:$DD$57,16,0)</f>
        <v>4/10</v>
      </c>
      <c r="D111" s="21" t="str">
        <f>IF(Stats!$B$6="","",HLOOKUP(Stats!$B$6,Info!$E$2:$DD$57,16,0))</f>
        <v>4/10</v>
      </c>
      <c r="E111" s="21"/>
      <c r="F111" s="21">
        <f>VLOOKUP(E111,Info!$HB$1:$HI$203,5)</f>
        <v>-30</v>
      </c>
      <c r="G111" s="21" t="s">
        <v>222</v>
      </c>
      <c r="H111" s="21">
        <f>Stats!$I$15</f>
        <v>1</v>
      </c>
      <c r="I111" s="21"/>
      <c r="J111" s="21"/>
      <c r="K111" s="76">
        <f t="shared" si="12"/>
        <v>-12.010000000000002</v>
      </c>
      <c r="M111" s="261"/>
      <c r="O111" s="12">
        <f t="shared" si="11"/>
        <v>0</v>
      </c>
      <c r="P111" s="245"/>
      <c r="Q111" s="254"/>
      <c r="Y111" s="12">
        <v>110</v>
      </c>
    </row>
    <row r="112" spans="1:25" ht="12.75" customHeight="1" x14ac:dyDescent="0.2">
      <c r="A112" s="21"/>
      <c r="B112" s="38" t="s">
        <v>529</v>
      </c>
      <c r="C112" s="21" t="str">
        <f>HLOOKUP(Stats!$B$5,Info!$E$2:$DD$57,16,0)</f>
        <v>4/10</v>
      </c>
      <c r="D112" s="21" t="str">
        <f>IF(Stats!$B$6="","",HLOOKUP(Stats!$B$6,Info!$E$2:$DD$57,16,0))</f>
        <v>4/10</v>
      </c>
      <c r="E112" s="21"/>
      <c r="F112" s="21">
        <f>VLOOKUP(E112,Info!$HB$1:$HI$203,5)</f>
        <v>-30</v>
      </c>
      <c r="G112" s="21" t="s">
        <v>222</v>
      </c>
      <c r="H112" s="21">
        <f>Stats!$I$15</f>
        <v>1</v>
      </c>
      <c r="I112" s="21"/>
      <c r="J112" s="21"/>
      <c r="K112" s="76">
        <f t="shared" si="12"/>
        <v>-12.010000000000002</v>
      </c>
      <c r="M112" s="261"/>
      <c r="O112" s="12">
        <f t="shared" si="11"/>
        <v>0</v>
      </c>
      <c r="P112" s="245"/>
      <c r="Q112" s="254"/>
      <c r="Y112" s="12">
        <v>111</v>
      </c>
    </row>
    <row r="113" spans="1:25" ht="12.75" customHeight="1" x14ac:dyDescent="0.2">
      <c r="A113" s="21"/>
      <c r="B113" s="38" t="s">
        <v>530</v>
      </c>
      <c r="C113" s="21" t="str">
        <f>HLOOKUP(Stats!$B$5,Info!$E$2:$DD$57,16,0)</f>
        <v>4/10</v>
      </c>
      <c r="D113" s="21" t="str">
        <f>IF(Stats!$B$6="","",HLOOKUP(Stats!$B$6,Info!$E$2:$DD$57,16,0))</f>
        <v>4/10</v>
      </c>
      <c r="E113" s="21"/>
      <c r="F113" s="21">
        <f>VLOOKUP(E113,Info!$HB$1:$HI$203,5)</f>
        <v>-30</v>
      </c>
      <c r="G113" s="21" t="s">
        <v>464</v>
      </c>
      <c r="H113" s="21">
        <f>Stats!$I$22</f>
        <v>4</v>
      </c>
      <c r="I113" s="21"/>
      <c r="J113" s="21"/>
      <c r="K113" s="76">
        <f t="shared" si="12"/>
        <v>-9.0100000000000016</v>
      </c>
      <c r="M113" s="261"/>
      <c r="O113" s="12">
        <f t="shared" si="11"/>
        <v>0</v>
      </c>
      <c r="P113" s="245"/>
      <c r="Q113" s="254"/>
      <c r="Y113" s="12">
        <v>112</v>
      </c>
    </row>
    <row r="114" spans="1:25" ht="12.75" customHeight="1" x14ac:dyDescent="0.2">
      <c r="A114" s="21"/>
      <c r="B114" s="38" t="s">
        <v>531</v>
      </c>
      <c r="C114" s="21" t="str">
        <f>HLOOKUP(Stats!$B$5,Info!$E$2:$DD$57,16,0)</f>
        <v>4/10</v>
      </c>
      <c r="D114" s="21" t="str">
        <f>IF(Stats!$B$6="","",HLOOKUP(Stats!$B$6,Info!$E$2:$DD$57,16,0))</f>
        <v>4/10</v>
      </c>
      <c r="E114" s="21"/>
      <c r="F114" s="21">
        <f>VLOOKUP(E114,Info!$HB$1:$HI$203,5)</f>
        <v>-30</v>
      </c>
      <c r="G114" s="21" t="s">
        <v>481</v>
      </c>
      <c r="H114" s="21">
        <f>Stats!$I$21</f>
        <v>4</v>
      </c>
      <c r="I114" s="21"/>
      <c r="J114" s="21"/>
      <c r="K114" s="76">
        <f t="shared" si="12"/>
        <v>-9.0100000000000016</v>
      </c>
      <c r="M114" s="261"/>
      <c r="O114" s="12">
        <f t="shared" si="11"/>
        <v>0</v>
      </c>
      <c r="P114" s="245"/>
      <c r="Q114" s="254"/>
      <c r="Y114" s="12">
        <v>113</v>
      </c>
    </row>
    <row r="115" spans="1:25" ht="12.75" customHeight="1" x14ac:dyDescent="0.2">
      <c r="A115" s="164" t="s">
        <v>495</v>
      </c>
      <c r="B115" s="165" t="s">
        <v>532</v>
      </c>
      <c r="C115" s="21" t="str">
        <f>HLOOKUP(Stats!$B$5,Info!$E$2:$DD$57,16,0)</f>
        <v>4/10</v>
      </c>
      <c r="D115" s="21" t="str">
        <f>IF(Stats!$B$6="","",HLOOKUP(Stats!$B$6,Info!$E$2:$DD$57,16,0))</f>
        <v>4/10</v>
      </c>
      <c r="E115" s="21"/>
      <c r="F115" s="21">
        <f>VLOOKUP(E115,Info!$HB$1:$HI$203,5)</f>
        <v>-30</v>
      </c>
      <c r="G115" s="21" t="s">
        <v>222</v>
      </c>
      <c r="H115" s="21">
        <f>Stats!$I$15</f>
        <v>1</v>
      </c>
      <c r="I115" s="21"/>
      <c r="J115" s="21"/>
      <c r="K115" s="76">
        <f t="shared" si="12"/>
        <v>-12.010000000000002</v>
      </c>
      <c r="M115" s="261"/>
      <c r="O115" s="12">
        <f t="shared" si="11"/>
        <v>0</v>
      </c>
      <c r="P115" s="245"/>
      <c r="Q115" s="254"/>
      <c r="Y115" s="12">
        <v>114</v>
      </c>
    </row>
    <row r="116" spans="1:25" ht="12.75" customHeight="1" x14ac:dyDescent="0.2">
      <c r="A116" s="21"/>
      <c r="B116" s="38" t="s">
        <v>533</v>
      </c>
      <c r="C116" s="21" t="str">
        <f>HLOOKUP(Stats!$B$5,Info!$E$2:$DD$57,16,0)</f>
        <v>4/10</v>
      </c>
      <c r="D116" s="21" t="str">
        <f>IF(Stats!$B$6="","",HLOOKUP(Stats!$B$6,Info!$E$2:$DD$57,16,0))</f>
        <v>4/10</v>
      </c>
      <c r="E116" s="21"/>
      <c r="F116" s="21">
        <f>VLOOKUP(E116,Info!$HB$1:$HI$203,5)</f>
        <v>-30</v>
      </c>
      <c r="G116" s="21" t="s">
        <v>222</v>
      </c>
      <c r="H116" s="21">
        <f>Stats!$I$15</f>
        <v>1</v>
      </c>
      <c r="I116" s="21"/>
      <c r="J116" s="21"/>
      <c r="K116" s="76">
        <f t="shared" si="12"/>
        <v>-12.010000000000002</v>
      </c>
      <c r="M116" s="261"/>
      <c r="O116" s="12">
        <f t="shared" si="11"/>
        <v>0</v>
      </c>
      <c r="P116" s="245"/>
      <c r="Q116" s="254"/>
      <c r="Y116" s="12">
        <v>115</v>
      </c>
    </row>
    <row r="117" spans="1:25" ht="12.75" customHeight="1" x14ac:dyDescent="0.2">
      <c r="A117" s="21"/>
      <c r="B117" s="38" t="s">
        <v>534</v>
      </c>
      <c r="C117" s="21" t="str">
        <f>HLOOKUP(Stats!$B$5,Info!$E$2:$DD$57,16,0)</f>
        <v>4/10</v>
      </c>
      <c r="D117" s="21" t="str">
        <f>IF(Stats!$B$6="","",HLOOKUP(Stats!$B$6,Info!$E$2:$DD$57,16,0))</f>
        <v>4/10</v>
      </c>
      <c r="E117" s="21"/>
      <c r="F117" s="21">
        <f>VLOOKUP(E117,Info!$HB$1:$HI$203,5)</f>
        <v>-30</v>
      </c>
      <c r="G117" s="21" t="s">
        <v>464</v>
      </c>
      <c r="H117" s="21">
        <f>Stats!$I$22</f>
        <v>4</v>
      </c>
      <c r="I117" s="21"/>
      <c r="J117" s="21"/>
      <c r="K117" s="76">
        <f t="shared" si="12"/>
        <v>-9.0100000000000016</v>
      </c>
      <c r="M117" s="261"/>
      <c r="O117" s="12">
        <f t="shared" si="11"/>
        <v>0</v>
      </c>
      <c r="P117" s="245"/>
      <c r="Q117" s="254"/>
      <c r="Y117" s="12">
        <v>116</v>
      </c>
    </row>
    <row r="118" spans="1:25" ht="12.75" customHeight="1" x14ac:dyDescent="0.2">
      <c r="A118" s="164" t="s">
        <v>495</v>
      </c>
      <c r="B118" s="165" t="s">
        <v>535</v>
      </c>
      <c r="C118" s="21" t="str">
        <f>HLOOKUP(Stats!$B$5,Info!$E$2:$DD$57,16,0)</f>
        <v>4/10</v>
      </c>
      <c r="D118" s="21" t="str">
        <f>IF(Stats!$B$6="","",HLOOKUP(Stats!$B$6,Info!$E$2:$DD$57,16,0))</f>
        <v>4/10</v>
      </c>
      <c r="E118" s="21"/>
      <c r="F118" s="21">
        <f>VLOOKUP(E118,Info!$HB$1:$HI$203,5)</f>
        <v>-30</v>
      </c>
      <c r="G118" s="21" t="s">
        <v>464</v>
      </c>
      <c r="H118" s="21">
        <f>Stats!$I$22</f>
        <v>4</v>
      </c>
      <c r="I118" s="21"/>
      <c r="J118" s="21"/>
      <c r="K118" s="76">
        <f t="shared" si="12"/>
        <v>-9.0100000000000016</v>
      </c>
      <c r="M118" s="261"/>
      <c r="O118" s="12">
        <f t="shared" si="11"/>
        <v>0</v>
      </c>
      <c r="P118" s="245"/>
      <c r="Q118" s="254"/>
      <c r="Y118" s="12">
        <v>117</v>
      </c>
    </row>
    <row r="119" spans="1:25" ht="12.75" customHeight="1" x14ac:dyDescent="0.2">
      <c r="A119" s="21"/>
      <c r="B119" s="38" t="s">
        <v>533</v>
      </c>
      <c r="C119" s="21" t="str">
        <f>HLOOKUP(Stats!$B$5,Info!$E$2:$DD$57,16,0)</f>
        <v>4/10</v>
      </c>
      <c r="D119" s="21" t="str">
        <f>IF(Stats!$B$6="","",HLOOKUP(Stats!$B$6,Info!$E$2:$DD$57,16,0))</f>
        <v>4/10</v>
      </c>
      <c r="E119" s="21"/>
      <c r="F119" s="21">
        <f>VLOOKUP(E119,Info!$HB$1:$HI$203,5)</f>
        <v>-30</v>
      </c>
      <c r="G119" s="21" t="s">
        <v>464</v>
      </c>
      <c r="H119" s="21">
        <f>Stats!$I$22</f>
        <v>4</v>
      </c>
      <c r="I119" s="21"/>
      <c r="J119" s="21"/>
      <c r="K119" s="76">
        <f t="shared" si="12"/>
        <v>-9.0100000000000016</v>
      </c>
      <c r="M119" s="261"/>
      <c r="O119" s="12">
        <f t="shared" si="11"/>
        <v>0</v>
      </c>
      <c r="P119" s="245"/>
      <c r="Q119" s="254"/>
      <c r="Y119" s="12">
        <v>118</v>
      </c>
    </row>
    <row r="120" spans="1:25" ht="12.75" customHeight="1" x14ac:dyDescent="0.2">
      <c r="A120" s="21"/>
      <c r="B120" s="38" t="s">
        <v>536</v>
      </c>
      <c r="C120" s="21" t="str">
        <f>HLOOKUP(Stats!$B$5,Info!$E$2:$DD$57,16,0)</f>
        <v>4/10</v>
      </c>
      <c r="D120" s="21" t="str">
        <f>IF(Stats!$B$6="","",HLOOKUP(Stats!$B$6,Info!$E$2:$DD$57,16,0))</f>
        <v>4/10</v>
      </c>
      <c r="E120" s="21"/>
      <c r="F120" s="21">
        <f>VLOOKUP(E120,Info!$HB$1:$HI$203,5)</f>
        <v>-30</v>
      </c>
      <c r="G120" s="21" t="s">
        <v>464</v>
      </c>
      <c r="H120" s="21">
        <f>Stats!$I$22</f>
        <v>4</v>
      </c>
      <c r="I120" s="21"/>
      <c r="J120" s="21"/>
      <c r="K120" s="76">
        <f t="shared" si="12"/>
        <v>-9.0100000000000016</v>
      </c>
      <c r="M120" s="261"/>
      <c r="O120" s="12">
        <f t="shared" si="11"/>
        <v>0</v>
      </c>
      <c r="P120" s="245"/>
      <c r="Q120" s="254"/>
      <c r="Y120" s="12">
        <v>119</v>
      </c>
    </row>
    <row r="121" spans="1:25" ht="12.75" customHeight="1" x14ac:dyDescent="0.2">
      <c r="A121" s="21"/>
      <c r="B121" s="38" t="s">
        <v>537</v>
      </c>
      <c r="C121" s="21" t="str">
        <f>HLOOKUP(Stats!$B$5,Info!$E$2:$DD$57,16,0)</f>
        <v>4/10</v>
      </c>
      <c r="D121" s="21" t="str">
        <f>IF(Stats!$B$6="","",HLOOKUP(Stats!$B$6,Info!$E$2:$DD$57,16,0))</f>
        <v>4/10</v>
      </c>
      <c r="E121" s="21"/>
      <c r="F121" s="21">
        <f>VLOOKUP(E121,Info!$HB$1:$HI$203,5)</f>
        <v>-30</v>
      </c>
      <c r="G121" s="21" t="s">
        <v>222</v>
      </c>
      <c r="H121" s="21">
        <f>Stats!$I$15</f>
        <v>1</v>
      </c>
      <c r="I121" s="21"/>
      <c r="J121" s="21"/>
      <c r="K121" s="76">
        <f t="shared" si="12"/>
        <v>-12.010000000000002</v>
      </c>
      <c r="M121" s="261"/>
      <c r="O121" s="12">
        <f t="shared" si="11"/>
        <v>0</v>
      </c>
      <c r="P121" s="245"/>
      <c r="Q121" s="254"/>
      <c r="Y121" s="12">
        <v>120</v>
      </c>
    </row>
    <row r="122" spans="1:25" ht="12.75" customHeight="1" x14ac:dyDescent="0.2">
      <c r="A122" s="21"/>
      <c r="B122" s="38" t="s">
        <v>538</v>
      </c>
      <c r="C122" s="21" t="str">
        <f>HLOOKUP(Stats!$B$5,Info!$E$2:$DD$57,16,0)</f>
        <v>4/10</v>
      </c>
      <c r="D122" s="21" t="str">
        <f>IF(Stats!$B$6="","",HLOOKUP(Stats!$B$6,Info!$E$2:$DD$57,16,0))</f>
        <v>4/10</v>
      </c>
      <c r="E122" s="21"/>
      <c r="F122" s="21">
        <f>VLOOKUP(E122,Info!$HB$1:$HI$203,5)</f>
        <v>-30</v>
      </c>
      <c r="G122" s="21" t="s">
        <v>222</v>
      </c>
      <c r="H122" s="21">
        <f>Stats!$I$15</f>
        <v>1</v>
      </c>
      <c r="I122" s="21"/>
      <c r="J122" s="21"/>
      <c r="K122" s="76">
        <f t="shared" si="12"/>
        <v>-12.010000000000002</v>
      </c>
      <c r="M122" s="261"/>
      <c r="O122" s="12">
        <f t="shared" si="11"/>
        <v>0</v>
      </c>
      <c r="P122" s="245"/>
      <c r="Q122" s="254"/>
      <c r="Y122" s="12">
        <v>121</v>
      </c>
    </row>
    <row r="123" spans="1:25" ht="12.75" customHeight="1" x14ac:dyDescent="0.2">
      <c r="A123" s="21"/>
      <c r="B123" s="38" t="s">
        <v>539</v>
      </c>
      <c r="C123" s="21" t="str">
        <f>HLOOKUP(Stats!$B$5,Info!$E$2:$DD$57,16,0)</f>
        <v>4/10</v>
      </c>
      <c r="D123" s="21" t="str">
        <f>IF(Stats!$B$6="","",HLOOKUP(Stats!$B$6,Info!$E$2:$DD$57,16,0))</f>
        <v>4/10</v>
      </c>
      <c r="E123" s="21"/>
      <c r="F123" s="21">
        <f>VLOOKUP(E123,Info!$HB$1:$HI$203,5)</f>
        <v>-30</v>
      </c>
      <c r="G123" s="21" t="s">
        <v>464</v>
      </c>
      <c r="H123" s="21">
        <f>Stats!$I$22</f>
        <v>4</v>
      </c>
      <c r="I123" s="21"/>
      <c r="J123" s="21"/>
      <c r="K123" s="76">
        <f t="shared" si="12"/>
        <v>-9.0100000000000016</v>
      </c>
      <c r="M123" s="261"/>
      <c r="O123" s="12">
        <f t="shared" si="11"/>
        <v>0</v>
      </c>
      <c r="P123" s="245"/>
      <c r="Q123" s="254"/>
      <c r="Y123" s="12">
        <v>122</v>
      </c>
    </row>
    <row r="124" spans="1:25" ht="12.75" customHeight="1" x14ac:dyDescent="0.2">
      <c r="A124" s="21"/>
      <c r="B124" s="38" t="s">
        <v>540</v>
      </c>
      <c r="C124" s="21" t="str">
        <f>HLOOKUP(Stats!$B$5,Info!$E$2:$DD$57,16,0)</f>
        <v>4/10</v>
      </c>
      <c r="D124" s="21" t="str">
        <f>IF(Stats!$B$6="","",HLOOKUP(Stats!$B$6,Info!$E$2:$DD$57,16,0))</f>
        <v>4/10</v>
      </c>
      <c r="E124" s="21"/>
      <c r="F124" s="21">
        <f>VLOOKUP(E124,Info!$HB$1:$HI$203,5)</f>
        <v>-30</v>
      </c>
      <c r="G124" s="21" t="s">
        <v>464</v>
      </c>
      <c r="H124" s="21">
        <f>Stats!$I$22</f>
        <v>4</v>
      </c>
      <c r="I124" s="21"/>
      <c r="J124" s="21"/>
      <c r="K124" s="76">
        <f t="shared" si="12"/>
        <v>-9.0100000000000016</v>
      </c>
      <c r="M124" s="261"/>
      <c r="O124" s="12">
        <f t="shared" si="11"/>
        <v>0</v>
      </c>
      <c r="P124" s="245"/>
      <c r="Q124" s="254"/>
      <c r="Y124" s="12">
        <v>123</v>
      </c>
    </row>
    <row r="125" spans="1:25" ht="12.75" customHeight="1" x14ac:dyDescent="0.2">
      <c r="A125" s="164" t="s">
        <v>495</v>
      </c>
      <c r="B125" s="165" t="s">
        <v>541</v>
      </c>
      <c r="C125" s="21" t="str">
        <f>HLOOKUP(Stats!$B$5,Info!$E$2:$DD$57,16,0)</f>
        <v>4/10</v>
      </c>
      <c r="D125" s="21" t="str">
        <f>IF(Stats!$B$6="","",HLOOKUP(Stats!$B$6,Info!$E$2:$DD$57,16,0))</f>
        <v>4/10</v>
      </c>
      <c r="E125" s="21"/>
      <c r="F125" s="21">
        <f>VLOOKUP(E125,Info!$HB$1:$HI$203,5)</f>
        <v>-30</v>
      </c>
      <c r="G125" s="21" t="s">
        <v>464</v>
      </c>
      <c r="H125" s="21">
        <f>Stats!$I$22</f>
        <v>4</v>
      </c>
      <c r="I125" s="21"/>
      <c r="J125" s="21"/>
      <c r="K125" s="76">
        <f t="shared" si="12"/>
        <v>-9.0100000000000016</v>
      </c>
      <c r="M125" s="261"/>
      <c r="O125" s="12">
        <f t="shared" si="11"/>
        <v>0</v>
      </c>
      <c r="P125" s="245"/>
      <c r="Q125" s="254"/>
      <c r="Y125" s="12">
        <v>124</v>
      </c>
    </row>
    <row r="126" spans="1:25" ht="12.75" customHeight="1" x14ac:dyDescent="0.2">
      <c r="A126" s="21"/>
      <c r="B126" s="38" t="s">
        <v>533</v>
      </c>
      <c r="C126" s="21" t="str">
        <f>HLOOKUP(Stats!$B$5,Info!$E$2:$DD$57,16,0)</f>
        <v>4/10</v>
      </c>
      <c r="D126" s="21" t="str">
        <f>IF(Stats!$B$6="","",HLOOKUP(Stats!$B$6,Info!$E$2:$DD$57,16,0))</f>
        <v>4/10</v>
      </c>
      <c r="E126" s="21"/>
      <c r="F126" s="21">
        <f>VLOOKUP(E126,Info!$HB$1:$HI$203,5)</f>
        <v>-30</v>
      </c>
      <c r="G126" s="21" t="s">
        <v>464</v>
      </c>
      <c r="H126" s="21">
        <f>Stats!$I$22</f>
        <v>4</v>
      </c>
      <c r="I126" s="21"/>
      <c r="J126" s="21"/>
      <c r="K126" s="76">
        <f t="shared" si="12"/>
        <v>-9.0100000000000016</v>
      </c>
      <c r="M126" s="261"/>
      <c r="O126" s="12">
        <f t="shared" si="11"/>
        <v>0</v>
      </c>
      <c r="P126" s="245"/>
      <c r="Q126" s="254"/>
      <c r="Y126" s="12">
        <v>125</v>
      </c>
    </row>
    <row r="127" spans="1:25" ht="12.75" customHeight="1" x14ac:dyDescent="0.2">
      <c r="A127" s="164" t="s">
        <v>495</v>
      </c>
      <c r="B127" s="165" t="s">
        <v>542</v>
      </c>
      <c r="C127" s="21" t="str">
        <f>HLOOKUP(Stats!$B$5,Info!$E$2:$DD$57,16,0)</f>
        <v>4/10</v>
      </c>
      <c r="D127" s="21" t="str">
        <f>IF(Stats!$B$6="","",HLOOKUP(Stats!$B$6,Info!$E$2:$DD$57,16,0))</f>
        <v>4/10</v>
      </c>
      <c r="E127" s="21"/>
      <c r="F127" s="21">
        <f>VLOOKUP(E127,Info!$HB$1:$HI$203,5)</f>
        <v>-30</v>
      </c>
      <c r="G127" s="21" t="s">
        <v>464</v>
      </c>
      <c r="H127" s="21">
        <f>Stats!$I$22</f>
        <v>4</v>
      </c>
      <c r="I127" s="21"/>
      <c r="J127" s="21"/>
      <c r="K127" s="76">
        <f t="shared" si="12"/>
        <v>-9.0100000000000016</v>
      </c>
      <c r="M127" s="261"/>
      <c r="O127" s="12">
        <f t="shared" si="11"/>
        <v>0</v>
      </c>
      <c r="P127" s="245"/>
      <c r="Q127" s="254"/>
      <c r="Y127" s="12">
        <v>126</v>
      </c>
    </row>
    <row r="128" spans="1:25" ht="12.75" customHeight="1" x14ac:dyDescent="0.2">
      <c r="A128" s="97"/>
      <c r="B128" s="155" t="s">
        <v>533</v>
      </c>
      <c r="C128" s="21" t="str">
        <f>HLOOKUP(Stats!$B$5,Info!$E$2:$DD$57,16,0)</f>
        <v>4/10</v>
      </c>
      <c r="D128" s="21" t="str">
        <f>IF(Stats!$B$6="","",HLOOKUP(Stats!$B$6,Info!$E$2:$DD$57,16,0))</f>
        <v>4/10</v>
      </c>
      <c r="E128" s="21"/>
      <c r="F128" s="21">
        <f>VLOOKUP(E128,Info!$HB$1:$HI$203,5)</f>
        <v>-30</v>
      </c>
      <c r="G128" s="21" t="s">
        <v>464</v>
      </c>
      <c r="H128" s="21">
        <f>Stats!$I$22</f>
        <v>4</v>
      </c>
      <c r="I128" s="21"/>
      <c r="J128" s="21"/>
      <c r="K128" s="76">
        <f t="shared" si="12"/>
        <v>-9.0100000000000016</v>
      </c>
      <c r="M128" s="261"/>
      <c r="O128" s="12">
        <f t="shared" si="11"/>
        <v>0</v>
      </c>
      <c r="P128" s="245"/>
      <c r="Q128" s="254"/>
      <c r="Y128" s="12">
        <v>127</v>
      </c>
    </row>
    <row r="129" spans="1:25" ht="12.75" customHeight="1" x14ac:dyDescent="0.2">
      <c r="A129" s="116" t="s">
        <v>543</v>
      </c>
      <c r="B129" s="83"/>
      <c r="C129" s="100" t="str">
        <f>HLOOKUP(Stats!$B$5,Info!$E$2:$DD$57,17,0)</f>
        <v>20</v>
      </c>
      <c r="D129" s="100" t="str">
        <f>IF(Stats!$B$6="","",HLOOKUP(Stats!$B$6,Info!$E$2:$DD$57,5,0))</f>
        <v>2/4</v>
      </c>
      <c r="E129" s="153"/>
      <c r="F129" s="153">
        <f>VLOOKUP(E129,Info!$HB$1:$HI$203,2)</f>
        <v>-15</v>
      </c>
      <c r="G129" s="153" t="s">
        <v>544</v>
      </c>
      <c r="H129" s="153">
        <f>Stats!I14+Stats!I15</f>
        <v>14</v>
      </c>
      <c r="I129" s="171">
        <f>IF(Stats!$M$4="",HLOOKUP(Stats!$B$5,Info!$F$59:$DD$114,Info!$DF$18,0),((HLOOKUP(Stats!$B$5,Info!$F$59:$DD$114,Info!$DF$18,0)+HLOOKUP(Stats!$B$6,Info!$F$59:$DD$114,Info!$DF$18,0))/2-0.01))</f>
        <v>-0.01</v>
      </c>
      <c r="J129" s="153"/>
      <c r="K129" s="171">
        <f>F129+H129+I129+J129</f>
        <v>-1.01</v>
      </c>
      <c r="M129" s="261"/>
      <c r="O129" s="12">
        <f t="shared" si="11"/>
        <v>0</v>
      </c>
      <c r="P129" s="245"/>
      <c r="Q129" s="254"/>
      <c r="Y129" s="12">
        <v>128</v>
      </c>
    </row>
    <row r="130" spans="1:25" ht="12.75" customHeight="1" x14ac:dyDescent="0.2">
      <c r="A130" s="59"/>
      <c r="B130" s="138" t="s">
        <v>545</v>
      </c>
      <c r="C130" s="21" t="str">
        <f>HLOOKUP(Stats!$B$5,Info!$E$2:$DD$57,17,0)</f>
        <v>20</v>
      </c>
      <c r="D130" s="21" t="str">
        <f>IF(Stats!$B$6="","",HLOOKUP(Stats!$B$6,Info!$E$2:$DD$57,17,0))</f>
        <v>20</v>
      </c>
      <c r="E130" s="21"/>
      <c r="F130" s="21">
        <f>VLOOKUP(E130,Info!$HB$1:$HI$203,3)</f>
        <v>-15</v>
      </c>
      <c r="G130" s="21" t="s">
        <v>408</v>
      </c>
      <c r="H130" s="21">
        <f>Stats!$I$14</f>
        <v>13</v>
      </c>
      <c r="I130" s="21"/>
      <c r="J130" s="21"/>
      <c r="K130" s="76">
        <f>F130+H130+I130+J130+$K$129</f>
        <v>-3.01</v>
      </c>
      <c r="M130" s="261"/>
      <c r="O130" s="12">
        <f t="shared" si="11"/>
        <v>0</v>
      </c>
      <c r="P130" s="245"/>
      <c r="Q130" s="254"/>
      <c r="Y130" s="12">
        <v>129</v>
      </c>
    </row>
    <row r="131" spans="1:25" ht="12.75" customHeight="1" x14ac:dyDescent="0.2">
      <c r="A131" s="21"/>
      <c r="B131" s="38" t="s">
        <v>545</v>
      </c>
      <c r="C131" s="21" t="str">
        <f>HLOOKUP(Stats!$B$5,Info!$E$2:$DD$57,17,0)</f>
        <v>20</v>
      </c>
      <c r="D131" s="21" t="str">
        <f>IF(Stats!$B$6="","",HLOOKUP(Stats!$B$6,Info!$E$2:$DD$57,17,0))</f>
        <v>20</v>
      </c>
      <c r="E131" s="21"/>
      <c r="F131" s="21">
        <f>VLOOKUP(E131,Info!$HB$1:$HI$203,3)</f>
        <v>-15</v>
      </c>
      <c r="G131" s="21" t="s">
        <v>408</v>
      </c>
      <c r="H131" s="21">
        <f>Stats!$I$14</f>
        <v>13</v>
      </c>
      <c r="I131" s="21"/>
      <c r="J131" s="21"/>
      <c r="K131" s="76">
        <f>F131+H131+I131+J131+$K$129</f>
        <v>-3.01</v>
      </c>
      <c r="M131" s="261"/>
      <c r="O131" s="12">
        <f t="shared" si="11"/>
        <v>0</v>
      </c>
      <c r="P131" s="245"/>
      <c r="Q131" s="254"/>
      <c r="Y131" s="12">
        <v>130</v>
      </c>
    </row>
    <row r="132" spans="1:25" ht="12.75" customHeight="1" x14ac:dyDescent="0.2">
      <c r="A132" s="21"/>
      <c r="B132" s="38" t="s">
        <v>545</v>
      </c>
      <c r="C132" s="21" t="str">
        <f>HLOOKUP(Stats!$B$5,Info!$E$2:$DD$57,17,0)</f>
        <v>20</v>
      </c>
      <c r="D132" s="21" t="str">
        <f>IF(Stats!$B$6="","",HLOOKUP(Stats!$B$6,Info!$E$2:$DD$57,17,0))</f>
        <v>20</v>
      </c>
      <c r="E132" s="21"/>
      <c r="F132" s="21">
        <f>VLOOKUP(E132,Info!$HB$1:$HI$203,3)</f>
        <v>-15</v>
      </c>
      <c r="G132" s="21" t="s">
        <v>408</v>
      </c>
      <c r="H132" s="21">
        <f>Stats!$I$14</f>
        <v>13</v>
      </c>
      <c r="I132" s="21"/>
      <c r="J132" s="21"/>
      <c r="K132" s="76">
        <f>F132+H132+I132+J132+$K$129</f>
        <v>-3.01</v>
      </c>
      <c r="M132" s="261"/>
      <c r="O132" s="12">
        <f t="shared" si="11"/>
        <v>0</v>
      </c>
      <c r="P132" s="245"/>
      <c r="Q132" s="254"/>
      <c r="Y132" s="12">
        <v>131</v>
      </c>
    </row>
    <row r="133" spans="1:25" ht="12.75" customHeight="1" x14ac:dyDescent="0.2">
      <c r="A133" s="21"/>
      <c r="B133" s="38" t="s">
        <v>545</v>
      </c>
      <c r="C133" s="21" t="str">
        <f>HLOOKUP(Stats!$B$5,Info!$E$2:$DD$57,17,0)</f>
        <v>20</v>
      </c>
      <c r="D133" s="21" t="str">
        <f>IF(Stats!$B$6="","",HLOOKUP(Stats!$B$6,Info!$E$2:$DD$57,17,0))</f>
        <v>20</v>
      </c>
      <c r="E133" s="21"/>
      <c r="F133" s="21">
        <f>VLOOKUP(E133,Info!$HB$1:$HI$203,3)</f>
        <v>-15</v>
      </c>
      <c r="G133" s="21" t="s">
        <v>408</v>
      </c>
      <c r="H133" s="21">
        <f>Stats!$I$14</f>
        <v>13</v>
      </c>
      <c r="I133" s="21"/>
      <c r="J133" s="21"/>
      <c r="K133" s="76">
        <f>F133+H133+I133+J133+$K$129</f>
        <v>-3.01</v>
      </c>
      <c r="M133" s="261"/>
      <c r="O133" s="12">
        <f t="shared" si="11"/>
        <v>0</v>
      </c>
      <c r="P133" s="245"/>
      <c r="Q133" s="254"/>
      <c r="Y133" s="12">
        <v>132</v>
      </c>
    </row>
    <row r="134" spans="1:25" ht="12.75" customHeight="1" x14ac:dyDescent="0.2">
      <c r="A134" s="21"/>
      <c r="B134" s="38" t="s">
        <v>545</v>
      </c>
      <c r="C134" s="21" t="str">
        <f>HLOOKUP(Stats!$B$5,Info!$E$2:$DD$57,17,0)</f>
        <v>20</v>
      </c>
      <c r="D134" s="21" t="str">
        <f>IF(Stats!$B$6="","",HLOOKUP(Stats!$B$6,Info!$E$2:$DD$57,17,0))</f>
        <v>20</v>
      </c>
      <c r="E134" s="21"/>
      <c r="F134" s="21">
        <f>VLOOKUP(E134,Info!$HB$1:$HI$203,3)</f>
        <v>-15</v>
      </c>
      <c r="G134" s="21" t="s">
        <v>408</v>
      </c>
      <c r="H134" s="21">
        <f>Stats!$I$14</f>
        <v>13</v>
      </c>
      <c r="I134" s="21"/>
      <c r="J134" s="21"/>
      <c r="K134" s="76">
        <f>F134+H134+I134+J134+$K$129</f>
        <v>-3.01</v>
      </c>
      <c r="M134" s="261"/>
      <c r="O134" s="12">
        <f t="shared" si="11"/>
        <v>0</v>
      </c>
      <c r="P134" s="245"/>
      <c r="Q134" s="254"/>
      <c r="Y134" s="12">
        <v>133</v>
      </c>
    </row>
    <row r="135" spans="1:25" ht="12.75" customHeight="1" x14ac:dyDescent="0.2">
      <c r="A135" s="312" t="s">
        <v>385</v>
      </c>
      <c r="B135" s="312"/>
      <c r="C135" s="17" t="s">
        <v>4130</v>
      </c>
      <c r="D135" s="17" t="s">
        <v>4131</v>
      </c>
      <c r="E135" s="17" t="s">
        <v>386</v>
      </c>
      <c r="F135" s="17" t="s">
        <v>387</v>
      </c>
      <c r="G135" s="17" t="s">
        <v>388</v>
      </c>
      <c r="H135" s="147" t="s">
        <v>389</v>
      </c>
      <c r="I135" s="17" t="s">
        <v>390</v>
      </c>
      <c r="J135" s="148" t="s">
        <v>207</v>
      </c>
      <c r="K135" s="148" t="s">
        <v>209</v>
      </c>
      <c r="M135" s="261"/>
      <c r="O135" s="12" t="s">
        <v>386</v>
      </c>
      <c r="P135" s="245"/>
      <c r="Q135" s="254"/>
      <c r="Y135" s="12">
        <v>134</v>
      </c>
    </row>
    <row r="136" spans="1:25" ht="12.75" customHeight="1" x14ac:dyDescent="0.2">
      <c r="A136" s="162" t="s">
        <v>546</v>
      </c>
      <c r="B136" s="163"/>
      <c r="C136" s="60" t="str">
        <f>HLOOKUP(Stats!$B$5,Info!$E$2:$DD$57,18,0)</f>
        <v>2/5</v>
      </c>
      <c r="D136" s="100" t="str">
        <f>IF(Stats!$B$6="","",HLOOKUP(Stats!$B$6,Info!$E$2:$DD$57,18,0))</f>
        <v>2/5</v>
      </c>
      <c r="E136" s="42"/>
      <c r="F136" s="42">
        <f>VLOOKUP(E136,Info!$HB$1:$HI$203,2)</f>
        <v>-15</v>
      </c>
      <c r="G136" s="42" t="s">
        <v>413</v>
      </c>
      <c r="H136" s="42">
        <f>Stats!I20+Stats!I21</f>
        <v>-2</v>
      </c>
      <c r="I136" s="171">
        <f>IF(Stats!$M$4="",HLOOKUP(Stats!$B$5,Info!$F$59:$DD$114,Info!$DF$19,0),((HLOOKUP(Stats!$B$5,Info!$F$59:$DD$114,Info!$DF$19,0)+HLOOKUP(Stats!$B$6,Info!$F$59:$DD$114,Info!$DF$19,0))/2-0.01))</f>
        <v>-0.01</v>
      </c>
      <c r="J136" s="42"/>
      <c r="K136" s="271">
        <f>F136+H136+I136+J136</f>
        <v>-17.010000000000002</v>
      </c>
      <c r="M136" s="261"/>
      <c r="O136" s="12">
        <f t="shared" ref="O136:O199" si="13">E136+M136</f>
        <v>0</v>
      </c>
      <c r="P136" s="245"/>
      <c r="Q136" s="254"/>
      <c r="Y136" s="12">
        <v>135</v>
      </c>
    </row>
    <row r="137" spans="1:25" ht="12.75" customHeight="1" x14ac:dyDescent="0.2">
      <c r="A137" s="59"/>
      <c r="B137" s="138" t="s">
        <v>547</v>
      </c>
      <c r="C137" s="21" t="str">
        <f>HLOOKUP(Stats!$B$5,Info!$E$2:$DD$57,18,0)</f>
        <v>2/5</v>
      </c>
      <c r="D137" s="21" t="str">
        <f>IF(Stats!$B$6="","",HLOOKUP(Stats!$B$6,Info!$E$2:$DD$57,18,0))</f>
        <v>2/5</v>
      </c>
      <c r="E137" s="21"/>
      <c r="F137" s="21">
        <f>VLOOKUP(E137,Info!$HB$1:$HI$203,3)</f>
        <v>-15</v>
      </c>
      <c r="G137" s="21" t="s">
        <v>464</v>
      </c>
      <c r="H137" s="21">
        <f>Stats!$I$22</f>
        <v>4</v>
      </c>
      <c r="I137" s="21"/>
      <c r="J137" s="21"/>
      <c r="K137" s="76">
        <f t="shared" ref="K137:K145" si="14">F137+H137+I137+J137+$K$136</f>
        <v>-28.01</v>
      </c>
      <c r="M137" s="261"/>
      <c r="O137" s="12">
        <f t="shared" si="13"/>
        <v>0</v>
      </c>
      <c r="P137" s="245"/>
      <c r="Q137" s="254"/>
      <c r="Y137" s="12">
        <v>136</v>
      </c>
    </row>
    <row r="138" spans="1:25" ht="12.75" customHeight="1" x14ac:dyDescent="0.2">
      <c r="A138" s="21"/>
      <c r="B138" s="38" t="s">
        <v>548</v>
      </c>
      <c r="C138" s="21" t="str">
        <f>HLOOKUP(Stats!$B$5,Info!$E$2:$DD$57,18,0)</f>
        <v>2/5</v>
      </c>
      <c r="D138" s="21" t="str">
        <f>IF(Stats!$B$6="","",HLOOKUP(Stats!$B$6,Info!$E$2:$DD$57,18,0))</f>
        <v>2/5</v>
      </c>
      <c r="E138" s="21"/>
      <c r="F138" s="21">
        <f>VLOOKUP(E138,Info!$HB$1:$HI$203,3)</f>
        <v>-15</v>
      </c>
      <c r="G138" s="21" t="s">
        <v>464</v>
      </c>
      <c r="H138" s="21">
        <f>Stats!$I$22</f>
        <v>4</v>
      </c>
      <c r="I138" s="21"/>
      <c r="J138" s="21"/>
      <c r="K138" s="76">
        <f t="shared" si="14"/>
        <v>-28.01</v>
      </c>
      <c r="M138" s="261"/>
      <c r="O138" s="12">
        <f t="shared" si="13"/>
        <v>0</v>
      </c>
      <c r="P138" s="245"/>
      <c r="Q138" s="254"/>
      <c r="Y138" s="12">
        <v>137</v>
      </c>
    </row>
    <row r="139" spans="1:25" ht="12.75" customHeight="1" x14ac:dyDescent="0.2">
      <c r="A139" s="21"/>
      <c r="B139" s="38" t="s">
        <v>549</v>
      </c>
      <c r="C139" s="21" t="str">
        <f>HLOOKUP(Stats!$B$5,Info!$E$2:$DD$57,18,0)</f>
        <v>2/5</v>
      </c>
      <c r="D139" s="21" t="str">
        <f>IF(Stats!$B$6="","",HLOOKUP(Stats!$B$6,Info!$E$2:$DD$57,18,0))</f>
        <v>2/5</v>
      </c>
      <c r="E139" s="21"/>
      <c r="F139" s="21">
        <f>VLOOKUP(E139,Info!$HB$1:$HI$203,3)</f>
        <v>-15</v>
      </c>
      <c r="G139" s="21" t="s">
        <v>464</v>
      </c>
      <c r="H139" s="21">
        <f>Stats!$I$22</f>
        <v>4</v>
      </c>
      <c r="I139" s="21"/>
      <c r="J139" s="21"/>
      <c r="K139" s="76">
        <f t="shared" si="14"/>
        <v>-28.01</v>
      </c>
      <c r="M139" s="261"/>
      <c r="O139" s="12">
        <f t="shared" si="13"/>
        <v>0</v>
      </c>
      <c r="P139" s="245"/>
      <c r="Q139" s="254"/>
      <c r="Y139" s="12">
        <v>138</v>
      </c>
    </row>
    <row r="140" spans="1:25" ht="12.75" customHeight="1" x14ac:dyDescent="0.2">
      <c r="A140" s="21"/>
      <c r="B140" s="38" t="s">
        <v>550</v>
      </c>
      <c r="C140" s="21" t="str">
        <f>HLOOKUP(Stats!$B$5,Info!$E$2:$DD$57,18,0)</f>
        <v>2/5</v>
      </c>
      <c r="D140" s="21" t="str">
        <f>IF(Stats!$B$6="","",HLOOKUP(Stats!$B$6,Info!$E$2:$DD$57,18,0))</f>
        <v>2/5</v>
      </c>
      <c r="E140" s="21"/>
      <c r="F140" s="21">
        <f>VLOOKUP(E140,Info!$HB$1:$HI$203,3)</f>
        <v>-15</v>
      </c>
      <c r="G140" s="21" t="s">
        <v>222</v>
      </c>
      <c r="H140" s="21">
        <f>Stats!$I$15</f>
        <v>1</v>
      </c>
      <c r="I140" s="21"/>
      <c r="J140" s="21"/>
      <c r="K140" s="76">
        <f t="shared" si="14"/>
        <v>-31.01</v>
      </c>
      <c r="M140" s="261"/>
      <c r="O140" s="12">
        <f t="shared" si="13"/>
        <v>0</v>
      </c>
      <c r="P140" s="245"/>
      <c r="Q140" s="254"/>
      <c r="Y140" s="12">
        <v>139</v>
      </c>
    </row>
    <row r="141" spans="1:25" ht="12.75" customHeight="1" x14ac:dyDescent="0.2">
      <c r="A141" s="21"/>
      <c r="B141" s="38" t="s">
        <v>551</v>
      </c>
      <c r="C141" s="21" t="str">
        <f>HLOOKUP(Stats!$B$5,Info!$E$2:$DD$57,18,0)</f>
        <v>2/5</v>
      </c>
      <c r="D141" s="21" t="str">
        <f>IF(Stats!$B$6="","",HLOOKUP(Stats!$B$6,Info!$E$2:$DD$57,18,0))</f>
        <v>2/5</v>
      </c>
      <c r="E141" s="21"/>
      <c r="F141" s="21">
        <f>VLOOKUP(E141,Info!$HB$1:$HI$203,3)</f>
        <v>-15</v>
      </c>
      <c r="G141" s="21" t="s">
        <v>428</v>
      </c>
      <c r="H141" s="21">
        <f>Stats!$I$20</f>
        <v>-6</v>
      </c>
      <c r="I141" s="21"/>
      <c r="J141" s="21"/>
      <c r="K141" s="76">
        <f t="shared" si="14"/>
        <v>-38.010000000000005</v>
      </c>
      <c r="M141" s="261"/>
      <c r="O141" s="12">
        <f t="shared" si="13"/>
        <v>0</v>
      </c>
      <c r="P141" s="245"/>
      <c r="Q141" s="254"/>
      <c r="Y141" s="12">
        <v>140</v>
      </c>
    </row>
    <row r="142" spans="1:25" ht="12.75" customHeight="1" x14ac:dyDescent="0.2">
      <c r="A142" s="21"/>
      <c r="B142" s="38" t="s">
        <v>552</v>
      </c>
      <c r="C142" s="21" t="str">
        <f>HLOOKUP(Stats!$B$5,Info!$E$2:$DD$57,18,0)</f>
        <v>2/5</v>
      </c>
      <c r="D142" s="21" t="str">
        <f>IF(Stats!$B$6="","",HLOOKUP(Stats!$B$6,Info!$E$2:$DD$57,18,0))</f>
        <v>2/5</v>
      </c>
      <c r="E142" s="21"/>
      <c r="F142" s="21">
        <f>VLOOKUP(E142,Info!$HB$1:$HI$203,3)</f>
        <v>-15</v>
      </c>
      <c r="G142" s="21" t="s">
        <v>432</v>
      </c>
      <c r="H142" s="21">
        <f>Stats!I17</f>
        <v>4</v>
      </c>
      <c r="I142" s="21"/>
      <c r="J142" s="21"/>
      <c r="K142" s="76">
        <f t="shared" si="14"/>
        <v>-28.01</v>
      </c>
      <c r="M142" s="261"/>
      <c r="O142" s="12">
        <f t="shared" si="13"/>
        <v>0</v>
      </c>
      <c r="P142" s="245"/>
      <c r="Q142" s="254"/>
      <c r="Y142" s="12">
        <v>141</v>
      </c>
    </row>
    <row r="143" spans="1:25" ht="12.75" customHeight="1" x14ac:dyDescent="0.2">
      <c r="A143" s="21"/>
      <c r="B143" s="38" t="s">
        <v>553</v>
      </c>
      <c r="C143" s="21" t="str">
        <f>HLOOKUP(Stats!$B$5,Info!$E$2:$DD$57,18,0)</f>
        <v>2/5</v>
      </c>
      <c r="D143" s="21" t="str">
        <f>IF(Stats!$B$6="","",HLOOKUP(Stats!$B$6,Info!$E$2:$DD$57,18,0))</f>
        <v>2/5</v>
      </c>
      <c r="E143" s="21"/>
      <c r="F143" s="21">
        <f>VLOOKUP(E143,Info!$HB$1:$HI$203,3)</f>
        <v>-15</v>
      </c>
      <c r="G143" s="21" t="s">
        <v>464</v>
      </c>
      <c r="H143" s="21">
        <f>Stats!$I$22</f>
        <v>4</v>
      </c>
      <c r="I143" s="21"/>
      <c r="J143" s="21"/>
      <c r="K143" s="76">
        <f t="shared" si="14"/>
        <v>-28.01</v>
      </c>
      <c r="M143" s="261"/>
      <c r="O143" s="12">
        <f t="shared" si="13"/>
        <v>0</v>
      </c>
      <c r="P143" s="245"/>
      <c r="Q143" s="254"/>
      <c r="Y143" s="12">
        <v>142</v>
      </c>
    </row>
    <row r="144" spans="1:25" ht="12.75" customHeight="1" x14ac:dyDescent="0.2">
      <c r="A144" s="21"/>
      <c r="B144" s="38" t="s">
        <v>554</v>
      </c>
      <c r="C144" s="21" t="str">
        <f>HLOOKUP(Stats!$B$5,Info!$E$2:$DD$57,18,0)</f>
        <v>2/5</v>
      </c>
      <c r="D144" s="21" t="str">
        <f>IF(Stats!$B$6="","",HLOOKUP(Stats!$B$6,Info!$E$2:$DD$57,18,0))</f>
        <v>2/5</v>
      </c>
      <c r="E144" s="21"/>
      <c r="F144" s="21">
        <f>VLOOKUP(E144,Info!$HB$1:$HI$203,3)</f>
        <v>-15</v>
      </c>
      <c r="G144" s="21" t="s">
        <v>464</v>
      </c>
      <c r="H144" s="21">
        <f>Stats!$I$22</f>
        <v>4</v>
      </c>
      <c r="I144" s="21"/>
      <c r="J144" s="21"/>
      <c r="K144" s="76">
        <f t="shared" si="14"/>
        <v>-28.01</v>
      </c>
      <c r="M144" s="261"/>
      <c r="O144" s="12">
        <f t="shared" si="13"/>
        <v>0</v>
      </c>
      <c r="P144" s="245"/>
      <c r="Q144" s="254"/>
      <c r="Y144" s="12">
        <v>143</v>
      </c>
    </row>
    <row r="145" spans="1:25" ht="12.75" customHeight="1" x14ac:dyDescent="0.2">
      <c r="A145" s="97"/>
      <c r="B145" s="155" t="s">
        <v>555</v>
      </c>
      <c r="C145" s="21" t="str">
        <f>HLOOKUP(Stats!$B$5,Info!$E$2:$DD$57,18,0)</f>
        <v>2/5</v>
      </c>
      <c r="D145" s="21" t="str">
        <f>IF(Stats!$B$6="","",HLOOKUP(Stats!$B$6,Info!$E$2:$DD$57,18,0))</f>
        <v>2/5</v>
      </c>
      <c r="E145" s="21"/>
      <c r="F145" s="21">
        <f>VLOOKUP(E145,Info!$HB$1:$HI$203,3)</f>
        <v>-15</v>
      </c>
      <c r="G145" s="21" t="s">
        <v>222</v>
      </c>
      <c r="H145" s="21">
        <f>Stats!$I$15</f>
        <v>1</v>
      </c>
      <c r="I145" s="21"/>
      <c r="J145" s="21"/>
      <c r="K145" s="76">
        <f t="shared" si="14"/>
        <v>-31.01</v>
      </c>
      <c r="M145" s="261"/>
      <c r="O145" s="12">
        <f t="shared" si="13"/>
        <v>0</v>
      </c>
      <c r="P145" s="245"/>
      <c r="Q145" s="254"/>
      <c r="Y145" s="12">
        <v>144</v>
      </c>
    </row>
    <row r="146" spans="1:25" ht="12.75" customHeight="1" x14ac:dyDescent="0.2">
      <c r="A146" s="116" t="s">
        <v>556</v>
      </c>
      <c r="B146" s="83"/>
      <c r="C146" s="100" t="str">
        <f>HLOOKUP(Stats!$B$5,Info!$E$2:$DD$57,19,0)</f>
        <v>1/3</v>
      </c>
      <c r="D146" s="100" t="str">
        <f>IF(Stats!$B$6="","",HLOOKUP(Stats!$B$6,Info!$E$2:$DD$57,19,0))</f>
        <v>1/3</v>
      </c>
      <c r="E146" s="153"/>
      <c r="F146" s="153">
        <f>VLOOKUP(E146,Info!$HB$1:$HI$203,2)</f>
        <v>-15</v>
      </c>
      <c r="G146" s="153" t="s">
        <v>557</v>
      </c>
      <c r="H146" s="153">
        <f>Stats!$I$17+Stats!$I$16</f>
        <v>8</v>
      </c>
      <c r="I146" s="171">
        <f>IF(Stats!$M$4="",HLOOKUP(Stats!$B$5,Info!$F$59:$DD$114,Info!$DF$20,0),((HLOOKUP(Stats!$B$5,Info!$F$59:$DD$114,Info!$DF$20,0)+HLOOKUP(Stats!$B$6,Info!$F$59:$DD$114,Info!$DF$20,0))/2-0.01))</f>
        <v>-0.01</v>
      </c>
      <c r="J146" s="153"/>
      <c r="K146" s="171">
        <f>F146+H146+I146+J146</f>
        <v>-7.01</v>
      </c>
      <c r="M146" s="261"/>
      <c r="O146" s="12">
        <f t="shared" si="13"/>
        <v>0</v>
      </c>
      <c r="P146" s="245"/>
      <c r="Q146" s="254">
        <f>HLOOKUP(Stats!$B$2,Info!$EN$3:$GZ$48,Info!$HA$19,0)</f>
        <v>3</v>
      </c>
      <c r="Y146" s="12">
        <v>145</v>
      </c>
    </row>
    <row r="147" spans="1:25" ht="12.75" customHeight="1" x14ac:dyDescent="0.2">
      <c r="A147" s="59"/>
      <c r="B147" s="138" t="s">
        <v>559</v>
      </c>
      <c r="C147" s="21" t="str">
        <f>HLOOKUP(Stats!$B$5,Info!$E$2:$DD$57,19,0)</f>
        <v>1/3</v>
      </c>
      <c r="D147" s="21" t="str">
        <f>IF(Stats!$B$6="","",HLOOKUP(Stats!$B$6,Info!$E$2:$DD$57,19,0))</f>
        <v>1/3</v>
      </c>
      <c r="E147" s="21"/>
      <c r="F147" s="21">
        <f>VLOOKUP(E147,Info!$HB$1:$HI$203,3)</f>
        <v>-15</v>
      </c>
      <c r="G147" s="21" t="s">
        <v>418</v>
      </c>
      <c r="H147" s="21">
        <f>Stats!$I$16</f>
        <v>4</v>
      </c>
      <c r="I147" s="21"/>
      <c r="J147" s="21"/>
      <c r="K147" s="76">
        <f t="shared" ref="K147:K156" si="15">F147+H147+I147+J147+$K$146</f>
        <v>-18.009999999999998</v>
      </c>
      <c r="M147" s="261"/>
      <c r="O147" s="12">
        <f t="shared" si="13"/>
        <v>0</v>
      </c>
      <c r="P147" s="245"/>
      <c r="Q147" s="254">
        <f>HLOOKUP(Stats!$B$2,Info!$EN$3:$GZ$48,Info!$HA$20,0)</f>
        <v>3</v>
      </c>
      <c r="Y147" s="12">
        <v>146</v>
      </c>
    </row>
    <row r="148" spans="1:25" ht="12.75" customHeight="1" x14ac:dyDescent="0.2">
      <c r="A148" s="59"/>
      <c r="B148" s="138" t="s">
        <v>4260</v>
      </c>
      <c r="C148" s="21" t="str">
        <f>HLOOKUP(Stats!$B$5,Info!$E$2:$DD$57,19,0)</f>
        <v>1/3</v>
      </c>
      <c r="D148" s="21" t="str">
        <f>IF(Stats!$B$6="","",HLOOKUP(Stats!$B$6,Info!$E$2:$DD$57,19,0))</f>
        <v>1/3</v>
      </c>
      <c r="E148" s="21"/>
      <c r="F148" s="21">
        <f>VLOOKUP(E148,Info!$HB$1:$HI$203,3)</f>
        <v>-15</v>
      </c>
      <c r="G148" s="21" t="s">
        <v>418</v>
      </c>
      <c r="H148" s="21">
        <f>Stats!$I$16</f>
        <v>4</v>
      </c>
      <c r="I148" s="21"/>
      <c r="J148" s="21"/>
      <c r="K148" s="76">
        <f t="shared" si="15"/>
        <v>-18.009999999999998</v>
      </c>
      <c r="M148" s="261"/>
      <c r="O148" s="12">
        <f t="shared" si="13"/>
        <v>0</v>
      </c>
      <c r="P148" s="245"/>
      <c r="Q148" s="254"/>
    </row>
    <row r="149" spans="1:25" ht="12.75" customHeight="1" x14ac:dyDescent="0.2">
      <c r="A149" s="21"/>
      <c r="B149" s="38" t="s">
        <v>560</v>
      </c>
      <c r="C149" s="21" t="str">
        <f>HLOOKUP(Stats!$B$5,Info!$E$2:$DD$57,19,0)</f>
        <v>1/3</v>
      </c>
      <c r="D149" s="21" t="str">
        <f>IF(Stats!$B$6="","",HLOOKUP(Stats!$B$6,Info!$E$2:$DD$57,19,0))</f>
        <v>1/3</v>
      </c>
      <c r="E149" s="21"/>
      <c r="F149" s="21">
        <f>VLOOKUP(E149,Info!$HB$1:$HI$203,3)</f>
        <v>-15</v>
      </c>
      <c r="G149" s="21" t="s">
        <v>481</v>
      </c>
      <c r="H149" s="21">
        <f>Stats!$I$21</f>
        <v>4</v>
      </c>
      <c r="I149" s="21"/>
      <c r="J149" s="21"/>
      <c r="K149" s="76">
        <f t="shared" si="15"/>
        <v>-18.009999999999998</v>
      </c>
      <c r="M149" s="261"/>
      <c r="O149" s="12">
        <f t="shared" si="13"/>
        <v>0</v>
      </c>
      <c r="P149" s="245"/>
      <c r="Q149" s="254"/>
      <c r="Y149" s="12">
        <v>147</v>
      </c>
    </row>
    <row r="150" spans="1:25" ht="12.75" customHeight="1" x14ac:dyDescent="0.2">
      <c r="A150" s="21"/>
      <c r="B150" s="38" t="s">
        <v>561</v>
      </c>
      <c r="C150" s="21" t="str">
        <f>HLOOKUP(Stats!$B$5,Info!$E$2:$DD$57,19,0)</f>
        <v>1/3</v>
      </c>
      <c r="D150" s="21" t="str">
        <f>IF(Stats!$B$6="","",HLOOKUP(Stats!$B$6,Info!$E$2:$DD$57,19,0))</f>
        <v>1/3</v>
      </c>
      <c r="E150" s="21"/>
      <c r="F150" s="21">
        <f>VLOOKUP(E150,Info!$HB$1:$HI$203,3)</f>
        <v>-15</v>
      </c>
      <c r="G150" s="21" t="s">
        <v>481</v>
      </c>
      <c r="H150" s="21">
        <f>Stats!$I$21</f>
        <v>4</v>
      </c>
      <c r="I150" s="21"/>
      <c r="J150" s="21"/>
      <c r="K150" s="76">
        <f t="shared" si="15"/>
        <v>-18.009999999999998</v>
      </c>
      <c r="M150" s="261"/>
      <c r="O150" s="12">
        <f t="shared" si="13"/>
        <v>0</v>
      </c>
      <c r="P150" s="245"/>
      <c r="Q150" s="254"/>
      <c r="Y150" s="12">
        <v>148</v>
      </c>
    </row>
    <row r="151" spans="1:25" ht="12.75" customHeight="1" x14ac:dyDescent="0.2">
      <c r="A151" s="21"/>
      <c r="B151" s="38" t="s">
        <v>562</v>
      </c>
      <c r="C151" s="21" t="str">
        <f>HLOOKUP(Stats!$B$5,Info!$E$2:$DD$57,19,0)</f>
        <v>1/3</v>
      </c>
      <c r="D151" s="21" t="str">
        <f>IF(Stats!$B$6="","",HLOOKUP(Stats!$B$6,Info!$E$2:$DD$57,19,0))</f>
        <v>1/3</v>
      </c>
      <c r="E151" s="21"/>
      <c r="F151" s="21">
        <f>VLOOKUP(E151,Info!$HB$1:$HI$203,3)</f>
        <v>-15</v>
      </c>
      <c r="G151" s="21" t="s">
        <v>418</v>
      </c>
      <c r="H151" s="21">
        <f>Stats!$I$16</f>
        <v>4</v>
      </c>
      <c r="I151" s="21"/>
      <c r="J151" s="21"/>
      <c r="K151" s="76">
        <f t="shared" si="15"/>
        <v>-18.009999999999998</v>
      </c>
      <c r="M151" s="261"/>
      <c r="O151" s="12">
        <f t="shared" si="13"/>
        <v>0</v>
      </c>
      <c r="P151" s="245"/>
      <c r="Q151" s="254"/>
      <c r="Y151" s="12">
        <v>149</v>
      </c>
    </row>
    <row r="152" spans="1:25" ht="12.75" customHeight="1" x14ac:dyDescent="0.2">
      <c r="A152" s="21"/>
      <c r="B152" s="38" t="s">
        <v>564</v>
      </c>
      <c r="C152" s="21" t="str">
        <f>HLOOKUP(Stats!$B$5,Info!$E$2:$DD$57,19,0)</f>
        <v>1/3</v>
      </c>
      <c r="D152" s="21" t="str">
        <f>IF(Stats!$B$6="","",HLOOKUP(Stats!$B$6,Info!$E$2:$DD$57,19,0))</f>
        <v>1/3</v>
      </c>
      <c r="E152" s="21"/>
      <c r="F152" s="21">
        <f>VLOOKUP(E152,Info!$HB$1:$HI$203,3)</f>
        <v>-15</v>
      </c>
      <c r="G152" s="21" t="s">
        <v>418</v>
      </c>
      <c r="H152" s="21">
        <f>Stats!$I$16</f>
        <v>4</v>
      </c>
      <c r="I152" s="21"/>
      <c r="J152" s="21"/>
      <c r="K152" s="76">
        <f t="shared" si="15"/>
        <v>-18.009999999999998</v>
      </c>
      <c r="M152" s="261"/>
      <c r="O152" s="12">
        <f t="shared" si="13"/>
        <v>0</v>
      </c>
      <c r="P152" s="245"/>
      <c r="Q152" s="254"/>
      <c r="Y152" s="12">
        <v>150</v>
      </c>
    </row>
    <row r="153" spans="1:25" ht="12.75" customHeight="1" x14ac:dyDescent="0.2">
      <c r="A153" s="21"/>
      <c r="B153" s="38" t="s">
        <v>565</v>
      </c>
      <c r="C153" s="21" t="str">
        <f>HLOOKUP(Stats!$B$5,Info!$E$2:$DD$57,19,0)</f>
        <v>1/3</v>
      </c>
      <c r="D153" s="21" t="str">
        <f>IF(Stats!$B$6="","",HLOOKUP(Stats!$B$6,Info!$E$2:$DD$57,19,0))</f>
        <v>1/3</v>
      </c>
      <c r="E153" s="21"/>
      <c r="F153" s="21">
        <f>VLOOKUP(E153,Info!$HB$1:$HI$203,3)</f>
        <v>-15</v>
      </c>
      <c r="G153" s="21" t="s">
        <v>464</v>
      </c>
      <c r="H153" s="21">
        <f>Stats!$I$22</f>
        <v>4</v>
      </c>
      <c r="I153" s="21"/>
      <c r="J153" s="21"/>
      <c r="K153" s="76">
        <f t="shared" si="15"/>
        <v>-18.009999999999998</v>
      </c>
      <c r="M153" s="261"/>
      <c r="O153" s="12">
        <f t="shared" si="13"/>
        <v>0</v>
      </c>
      <c r="P153" s="245"/>
      <c r="Q153" s="254"/>
      <c r="Y153" s="12">
        <v>151</v>
      </c>
    </row>
    <row r="154" spans="1:25" ht="12.75" customHeight="1" x14ac:dyDescent="0.2">
      <c r="A154" s="97"/>
      <c r="B154" s="155" t="s">
        <v>1350</v>
      </c>
      <c r="C154" s="21" t="str">
        <f>HLOOKUP(Stats!$B$5,Info!$E$2:$DD$57,19,0)</f>
        <v>1/3</v>
      </c>
      <c r="D154" s="21" t="str">
        <f>IF(Stats!$B$6="","",HLOOKUP(Stats!$B$6,Info!$E$2:$DD$57,19,0))</f>
        <v>1/3</v>
      </c>
      <c r="E154" s="21"/>
      <c r="F154" s="21">
        <f>VLOOKUP(E154,Info!$HB$1:$HI$203,3)</f>
        <v>-15</v>
      </c>
      <c r="G154" s="21" t="s">
        <v>418</v>
      </c>
      <c r="H154" s="21">
        <f>Stats!$I$16</f>
        <v>4</v>
      </c>
      <c r="I154" s="21"/>
      <c r="J154" s="21"/>
      <c r="K154" s="76">
        <f t="shared" si="15"/>
        <v>-18.009999999999998</v>
      </c>
      <c r="M154" s="261"/>
      <c r="O154" s="12">
        <f t="shared" si="13"/>
        <v>0</v>
      </c>
      <c r="P154" s="245"/>
      <c r="Q154" s="254">
        <f>HLOOKUP(Stats!$B$2,Info!$EN$3:$GZ$48,Info!$HA$21,0)</f>
        <v>3</v>
      </c>
      <c r="Y154" s="12">
        <v>152</v>
      </c>
    </row>
    <row r="155" spans="1:25" ht="12.75" customHeight="1" x14ac:dyDescent="0.2">
      <c r="A155" s="274"/>
      <c r="B155" s="19" t="s">
        <v>4261</v>
      </c>
      <c r="C155" s="21" t="str">
        <f>HLOOKUP(Stats!$B$5,Info!$E$2:$DD$57,19,0)</f>
        <v>1/3</v>
      </c>
      <c r="D155" s="21" t="str">
        <f>IF(Stats!$B$6="","",HLOOKUP(Stats!$B$6,Info!$E$2:$DD$57,19,0))</f>
        <v>1/3</v>
      </c>
      <c r="E155" s="21"/>
      <c r="F155" s="21">
        <f>VLOOKUP(E155,Info!$HB$1:$HI$203,3)</f>
        <v>-15</v>
      </c>
      <c r="G155" s="21" t="s">
        <v>418</v>
      </c>
      <c r="H155" s="21">
        <f>Stats!$I$16</f>
        <v>4</v>
      </c>
      <c r="I155" s="21"/>
      <c r="J155" s="21"/>
      <c r="K155" s="76">
        <f t="shared" ref="K155" si="16">F155+H155+I155+J155+$K$146</f>
        <v>-18.009999999999998</v>
      </c>
      <c r="M155" s="261"/>
      <c r="O155" s="12">
        <f t="shared" si="13"/>
        <v>0</v>
      </c>
      <c r="P155" s="245"/>
      <c r="Q155" s="254"/>
    </row>
    <row r="156" spans="1:25" ht="12.75" customHeight="1" x14ac:dyDescent="0.2">
      <c r="A156" s="274"/>
      <c r="B156" s="240" t="s">
        <v>568</v>
      </c>
      <c r="C156" s="131" t="str">
        <f>HLOOKUP(Stats!$B$5,Info!$E$2:$DD$57,19,0)</f>
        <v>1/3</v>
      </c>
      <c r="D156" s="21" t="str">
        <f>IF(Stats!$B$6="","",HLOOKUP(Stats!$B$6,Info!$E$2:$DD$57,19,0))</f>
        <v>1/3</v>
      </c>
      <c r="E156" s="21"/>
      <c r="F156" s="21">
        <f>VLOOKUP(E156,Info!$HB$1:$HI$203,3)</f>
        <v>-15</v>
      </c>
      <c r="G156" s="21" t="s">
        <v>418</v>
      </c>
      <c r="H156" s="21">
        <f>Stats!$I$16</f>
        <v>4</v>
      </c>
      <c r="I156" s="21"/>
      <c r="J156" s="21"/>
      <c r="K156" s="76">
        <f t="shared" si="15"/>
        <v>-18.009999999999998</v>
      </c>
      <c r="M156" s="261"/>
      <c r="O156" s="12">
        <f t="shared" si="13"/>
        <v>0</v>
      </c>
      <c r="P156" s="245"/>
      <c r="Q156" s="254"/>
      <c r="Y156" s="12">
        <v>153</v>
      </c>
    </row>
    <row r="157" spans="1:25" ht="12.75" customHeight="1" x14ac:dyDescent="0.2">
      <c r="A157" s="162" t="s">
        <v>569</v>
      </c>
      <c r="B157" s="273"/>
      <c r="C157" s="100" t="str">
        <f>HLOOKUP(Stats!$B$5,Info!$E$2:$DD$57,20,0)</f>
        <v>5</v>
      </c>
      <c r="D157" s="100" t="str">
        <f>IF(Stats!$B$6="","",HLOOKUP(Stats!$B$6,Info!$E$2:$DD$57,20,0))</f>
        <v>4</v>
      </c>
      <c r="E157" s="153"/>
      <c r="F157" s="153">
        <f>VLOOKUP(E157,Info!$HB$1:$HI$203,2)</f>
        <v>-15</v>
      </c>
      <c r="G157" s="153" t="s">
        <v>557</v>
      </c>
      <c r="H157" s="153">
        <f>Stats!$I$17+Stats!$I$16</f>
        <v>8</v>
      </c>
      <c r="I157" s="171">
        <f>IF(Stats!$M$4="",HLOOKUP(Stats!$B$5,Info!$F$59:$DD$114,Info!$DF$21,0),((HLOOKUP(Stats!$B$5,Info!$F$59:$DD$114,Info!$DF$21,0)+HLOOKUP(Stats!$B$6,Info!$F$59:$DD$114,Info!$DF$21,0))/2-0.01))</f>
        <v>-0.01</v>
      </c>
      <c r="J157" s="153"/>
      <c r="K157" s="171">
        <f>F157+H157+I157+J157</f>
        <v>-7.01</v>
      </c>
      <c r="M157" s="261"/>
      <c r="O157" s="12">
        <f t="shared" si="13"/>
        <v>0</v>
      </c>
      <c r="P157" s="245"/>
      <c r="Q157" s="254"/>
      <c r="Y157" s="12">
        <v>154</v>
      </c>
    </row>
    <row r="158" spans="1:25" ht="12.75" customHeight="1" x14ac:dyDescent="0.2">
      <c r="A158" s="169"/>
      <c r="B158" s="138" t="s">
        <v>570</v>
      </c>
      <c r="C158" s="21" t="str">
        <f>HLOOKUP(Stats!$B$5,Info!$E$2:$DD$57,20,0)</f>
        <v>5</v>
      </c>
      <c r="D158" s="21" t="str">
        <f>IF(Stats!$B$6="","",HLOOKUP(Stats!$B$6,Info!$E$2:$DD$57,20,0))</f>
        <v>4</v>
      </c>
      <c r="E158" s="21"/>
      <c r="F158" s="21">
        <f>VLOOKUP(E158,Info!$HB$1:$HI$203,3)</f>
        <v>-15</v>
      </c>
      <c r="G158" s="21" t="s">
        <v>418</v>
      </c>
      <c r="H158" s="21">
        <f>Stats!$I$16</f>
        <v>4</v>
      </c>
      <c r="I158" s="21"/>
      <c r="J158" s="21"/>
      <c r="K158" s="76">
        <f>F158+H158+I158+J158+$K$157</f>
        <v>-18.009999999999998</v>
      </c>
      <c r="M158" s="261"/>
      <c r="O158" s="12">
        <f t="shared" si="13"/>
        <v>0</v>
      </c>
      <c r="P158" s="245"/>
      <c r="Q158" s="254"/>
      <c r="Y158" s="12">
        <v>155</v>
      </c>
    </row>
    <row r="159" spans="1:25" ht="12.75" customHeight="1" x14ac:dyDescent="0.2">
      <c r="A159" s="52"/>
      <c r="B159" s="38" t="s">
        <v>571</v>
      </c>
      <c r="C159" s="21" t="str">
        <f>HLOOKUP(Stats!$B$5,Info!$E$2:$DD$57,20,0)</f>
        <v>5</v>
      </c>
      <c r="D159" s="21" t="str">
        <f>IF(Stats!$B$6="","",HLOOKUP(Stats!$B$6,Info!$E$2:$DD$57,20,0))</f>
        <v>4</v>
      </c>
      <c r="E159" s="21"/>
      <c r="F159" s="21">
        <f>VLOOKUP(E159,Info!$HB$1:$HI$203,3)</f>
        <v>-15</v>
      </c>
      <c r="G159" s="21" t="s">
        <v>418</v>
      </c>
      <c r="H159" s="21">
        <f>Stats!$I$16</f>
        <v>4</v>
      </c>
      <c r="I159" s="21"/>
      <c r="J159" s="21"/>
      <c r="K159" s="76">
        <f>F159+H159+I159+J159+$K$157</f>
        <v>-18.009999999999998</v>
      </c>
      <c r="M159" s="261"/>
      <c r="O159" s="12">
        <f t="shared" si="13"/>
        <v>0</v>
      </c>
      <c r="P159" s="245"/>
      <c r="Q159" s="254"/>
      <c r="Y159" s="12">
        <v>157</v>
      </c>
    </row>
    <row r="160" spans="1:25" ht="12.75" customHeight="1" x14ac:dyDescent="0.2">
      <c r="A160" s="52"/>
      <c r="B160" s="38" t="s">
        <v>572</v>
      </c>
      <c r="C160" s="21" t="str">
        <f>HLOOKUP(Stats!$B$5,Info!$E$2:$DD$57,20,0)</f>
        <v>5</v>
      </c>
      <c r="D160" s="21" t="str">
        <f>IF(Stats!$B$6="","",HLOOKUP(Stats!$B$6,Info!$E$2:$DD$57,20,0))</f>
        <v>4</v>
      </c>
      <c r="E160" s="21"/>
      <c r="F160" s="21">
        <f>VLOOKUP(E160,Info!$HB$1:$HI$203,3)</f>
        <v>-15</v>
      </c>
      <c r="G160" s="21" t="s">
        <v>418</v>
      </c>
      <c r="H160" s="21">
        <f>Stats!$I$16</f>
        <v>4</v>
      </c>
      <c r="I160" s="21"/>
      <c r="J160" s="21"/>
      <c r="K160" s="76">
        <f>F160+H160+I160+J160+$K$157</f>
        <v>-18.009999999999998</v>
      </c>
      <c r="M160" s="261"/>
      <c r="O160" s="12">
        <f t="shared" si="13"/>
        <v>0</v>
      </c>
      <c r="P160" s="245"/>
      <c r="Q160" s="254"/>
      <c r="Y160" s="12">
        <v>159</v>
      </c>
    </row>
    <row r="161" spans="1:25" ht="12.75" customHeight="1" x14ac:dyDescent="0.2">
      <c r="A161" s="170"/>
      <c r="B161" s="155" t="s">
        <v>4257</v>
      </c>
      <c r="C161" s="21" t="str">
        <f>HLOOKUP(Stats!$B$5,Info!$E$2:$DD$57,20,0)</f>
        <v>5</v>
      </c>
      <c r="D161" s="21" t="str">
        <f>IF(Stats!$B$6="","",HLOOKUP(Stats!$B$6,Info!$E$2:$DD$57,20,0))</f>
        <v>4</v>
      </c>
      <c r="E161" s="21"/>
      <c r="F161" s="21">
        <f>VLOOKUP(E161,Info!$HB$1:$HI$203,3)</f>
        <v>-15</v>
      </c>
      <c r="G161" s="21" t="s">
        <v>481</v>
      </c>
      <c r="H161" s="21">
        <f>Stats!$I$21</f>
        <v>4</v>
      </c>
      <c r="I161" s="21"/>
      <c r="J161" s="21"/>
      <c r="K161" s="76">
        <f>F161+H161+I161+J161+$K$157</f>
        <v>-18.009999999999998</v>
      </c>
      <c r="M161" s="261"/>
      <c r="O161" s="12">
        <f t="shared" si="13"/>
        <v>0</v>
      </c>
      <c r="P161" s="245"/>
      <c r="Q161" s="254"/>
      <c r="Y161" s="12">
        <v>160</v>
      </c>
    </row>
    <row r="162" spans="1:25" ht="12.75" customHeight="1" x14ac:dyDescent="0.2">
      <c r="A162" s="116" t="s">
        <v>574</v>
      </c>
      <c r="B162" s="83"/>
      <c r="C162" s="100" t="str">
        <f>HLOOKUP(Stats!$B$5,Info!$E$2:$DD$57,21,0)</f>
        <v>3/7</v>
      </c>
      <c r="D162" s="100" t="str">
        <f>IF(Stats!$B$6="","",HLOOKUP(Stats!$B$6,Info!$E$2:$DD$57,21,0))</f>
        <v>2/7</v>
      </c>
      <c r="E162" s="153"/>
      <c r="F162" s="153">
        <f>VLOOKUP(E162,Info!$HB$1:$HI$203,2)</f>
        <v>-15</v>
      </c>
      <c r="G162" s="153" t="s">
        <v>557</v>
      </c>
      <c r="H162" s="153">
        <f>Stats!$I$17+Stats!$I$16</f>
        <v>8</v>
      </c>
      <c r="I162" s="171">
        <f>IF(Stats!$M$4="",HLOOKUP(Stats!$B$5,Info!$F$59:$DD$114,Info!$DF$22,0),((HLOOKUP(Stats!$B$5,Info!$F$59:$DD$114,Info!$DF$22,0)+HLOOKUP(Stats!$B$6,Info!$F$59:$DD$114,Info!$DF$22,0))/2-0.01))</f>
        <v>-0.01</v>
      </c>
      <c r="J162" s="153"/>
      <c r="K162" s="171">
        <f>F162+H162+I162+J162</f>
        <v>-7.01</v>
      </c>
      <c r="M162" s="261"/>
      <c r="O162" s="12">
        <f t="shared" si="13"/>
        <v>0</v>
      </c>
      <c r="P162" s="245"/>
      <c r="Q162" s="254"/>
      <c r="Y162" s="12">
        <v>161</v>
      </c>
    </row>
    <row r="163" spans="1:25" ht="12.75" customHeight="1" x14ac:dyDescent="0.2">
      <c r="A163" s="59"/>
      <c r="B163" s="138" t="s">
        <v>575</v>
      </c>
      <c r="C163" s="21" t="str">
        <f>HLOOKUP(Stats!$B$5,Info!$E$2:$DD$57,21,0)</f>
        <v>3/7</v>
      </c>
      <c r="D163" s="21" t="str">
        <f>IF(Stats!$B$6="","",HLOOKUP(Stats!$B$6,Info!$E$2:$DD$57,21,0))</f>
        <v>2/7</v>
      </c>
      <c r="E163" s="21"/>
      <c r="F163" s="21">
        <f>VLOOKUP(E163,Info!$HB$1:$HI$203,3)</f>
        <v>-15</v>
      </c>
      <c r="G163" s="21" t="s">
        <v>418</v>
      </c>
      <c r="H163" s="21">
        <f>Stats!$I$16</f>
        <v>4</v>
      </c>
      <c r="I163" s="21"/>
      <c r="J163" s="21"/>
      <c r="K163" s="76">
        <f>F163+H163+I163+J163+$K$162</f>
        <v>-18.009999999999998</v>
      </c>
      <c r="M163" s="261"/>
      <c r="O163" s="12">
        <f t="shared" si="13"/>
        <v>0</v>
      </c>
      <c r="P163" s="245"/>
      <c r="Q163" s="254"/>
      <c r="Y163" s="12">
        <v>162</v>
      </c>
    </row>
    <row r="164" spans="1:25" ht="12.75" customHeight="1" x14ac:dyDescent="0.2">
      <c r="A164" s="21"/>
      <c r="B164" s="38" t="s">
        <v>576</v>
      </c>
      <c r="C164" s="21" t="str">
        <f>HLOOKUP(Stats!$B$5,Info!$E$2:$DD$57,21,0)</f>
        <v>3/7</v>
      </c>
      <c r="D164" s="21" t="str">
        <f>IF(Stats!$B$6="","",HLOOKUP(Stats!$B$6,Info!$E$2:$DD$57,21,0))</f>
        <v>2/7</v>
      </c>
      <c r="E164" s="21"/>
      <c r="F164" s="21">
        <f>VLOOKUP(E164,Info!$HB$1:$HI$203,3)</f>
        <v>-15</v>
      </c>
      <c r="G164" s="21" t="s">
        <v>418</v>
      </c>
      <c r="H164" s="21">
        <f>Stats!$I$16</f>
        <v>4</v>
      </c>
      <c r="I164" s="21"/>
      <c r="J164" s="21"/>
      <c r="K164" s="76">
        <f>F164+H164+I164+J164+$K$162</f>
        <v>-18.009999999999998</v>
      </c>
      <c r="M164" s="261"/>
      <c r="O164" s="12">
        <f t="shared" si="13"/>
        <v>0</v>
      </c>
      <c r="P164" s="245"/>
      <c r="Q164" s="254"/>
      <c r="Y164" s="12">
        <v>163</v>
      </c>
    </row>
    <row r="165" spans="1:25" ht="12.75" customHeight="1" x14ac:dyDescent="0.2">
      <c r="A165" s="21"/>
      <c r="B165" s="38" t="s">
        <v>577</v>
      </c>
      <c r="C165" s="21" t="str">
        <f>HLOOKUP(Stats!$B$5,Info!$E$2:$DD$57,21,0)</f>
        <v>3/7</v>
      </c>
      <c r="D165" s="21" t="str">
        <f>IF(Stats!$B$6="","",HLOOKUP(Stats!$B$6,Info!$E$2:$DD$57,21,0))</f>
        <v>2/7</v>
      </c>
      <c r="E165" s="21"/>
      <c r="F165" s="21">
        <f>VLOOKUP(E165,Info!$HB$1:$HI$203,3)</f>
        <v>-15</v>
      </c>
      <c r="G165" s="21" t="s">
        <v>418</v>
      </c>
      <c r="H165" s="21">
        <f>Stats!$I$16</f>
        <v>4</v>
      </c>
      <c r="I165" s="21"/>
      <c r="J165" s="21"/>
      <c r="K165" s="76">
        <f>F165+H165+I165+J165+$K$162</f>
        <v>-18.009999999999998</v>
      </c>
      <c r="M165" s="261"/>
      <c r="O165" s="12">
        <f t="shared" si="13"/>
        <v>0</v>
      </c>
      <c r="P165" s="245"/>
      <c r="Q165" s="254"/>
      <c r="Y165" s="12">
        <v>164</v>
      </c>
    </row>
    <row r="166" spans="1:25" ht="12.75" customHeight="1" x14ac:dyDescent="0.2">
      <c r="A166" s="97"/>
      <c r="B166" s="155" t="s">
        <v>578</v>
      </c>
      <c r="C166" s="21" t="str">
        <f>HLOOKUP(Stats!$B$5,Info!$E$2:$DD$57,21,0)</f>
        <v>3/7</v>
      </c>
      <c r="D166" s="21" t="str">
        <f>IF(Stats!$B$6="","",HLOOKUP(Stats!$B$6,Info!$E$2:$DD$57,21,0))</f>
        <v>2/7</v>
      </c>
      <c r="E166" s="21"/>
      <c r="F166" s="21">
        <f>VLOOKUP(E166,Info!$HB$1:$HI$203,3)</f>
        <v>-15</v>
      </c>
      <c r="G166" s="21" t="s">
        <v>418</v>
      </c>
      <c r="H166" s="21">
        <f>Stats!$I$16</f>
        <v>4</v>
      </c>
      <c r="I166" s="21"/>
      <c r="J166" s="21"/>
      <c r="K166" s="76">
        <f>F166+H166+I166+J166+$K$162</f>
        <v>-18.009999999999998</v>
      </c>
      <c r="M166" s="261"/>
      <c r="O166" s="12">
        <f t="shared" si="13"/>
        <v>0</v>
      </c>
      <c r="P166" s="245"/>
      <c r="Q166" s="254"/>
      <c r="Y166" s="12">
        <v>165</v>
      </c>
    </row>
    <row r="167" spans="1:25" ht="12.75" customHeight="1" x14ac:dyDescent="0.2">
      <c r="A167" s="116" t="s">
        <v>579</v>
      </c>
      <c r="B167" s="83"/>
      <c r="C167" s="100" t="str">
        <f>HLOOKUP(Stats!$B$5,Info!$E$2:$DD$57,22,0)</f>
        <v>2/4</v>
      </c>
      <c r="D167" s="100" t="str">
        <f>IF(Stats!$B$6="","",HLOOKUP(Stats!$B$6,Info!$E$2:$DD$57,22,0))</f>
        <v>2/5</v>
      </c>
      <c r="E167" s="153"/>
      <c r="F167" s="153">
        <f>VLOOKUP(E167,Info!$HB$1:$HI$203,2)</f>
        <v>-15</v>
      </c>
      <c r="G167" s="153" t="s">
        <v>557</v>
      </c>
      <c r="H167" s="153">
        <f>Stats!$I$17+Stats!$I$16</f>
        <v>8</v>
      </c>
      <c r="I167" s="171">
        <f>IF(Stats!$M$4="",HLOOKUP(Stats!$B$5,Info!$F$59:$DD$114,Info!$DF$23,0),((HLOOKUP(Stats!$B$5,Info!$F$59:$DD$114,Info!$DF$23,0)+HLOOKUP(Stats!$B$6,Info!$F$59:$DD$114,Info!$DF$23,0))/2-0.01))</f>
        <v>-0.01</v>
      </c>
      <c r="J167" s="153"/>
      <c r="K167" s="171">
        <f>F167+H167+I167+J167</f>
        <v>-7.01</v>
      </c>
      <c r="M167" s="261"/>
      <c r="O167" s="12">
        <f t="shared" si="13"/>
        <v>0</v>
      </c>
      <c r="P167" s="245"/>
      <c r="Q167" s="254"/>
      <c r="Y167" s="12">
        <v>166</v>
      </c>
    </row>
    <row r="168" spans="1:25" ht="12.75" customHeight="1" x14ac:dyDescent="0.2">
      <c r="A168" s="59"/>
      <c r="B168" s="138" t="s">
        <v>580</v>
      </c>
      <c r="C168" s="21" t="str">
        <f>HLOOKUP(Stats!$B$5,Info!$E$2:$DD$57,22,0)</f>
        <v>2/4</v>
      </c>
      <c r="D168" s="21" t="str">
        <f>IF(Stats!$B$6="","",HLOOKUP(Stats!$B$6,Info!$E$2:$DD$57,22,0))</f>
        <v>2/5</v>
      </c>
      <c r="E168" s="21"/>
      <c r="F168" s="21">
        <f>VLOOKUP(E168,Info!$HB$1:$HI$203,3)</f>
        <v>-15</v>
      </c>
      <c r="G168" s="21" t="s">
        <v>418</v>
      </c>
      <c r="H168" s="21">
        <f>Stats!$I$16</f>
        <v>4</v>
      </c>
      <c r="I168" s="21"/>
      <c r="J168" s="21"/>
      <c r="K168" s="76">
        <f t="shared" ref="K168:K173" si="17">F168+H168+I168+J168+$K$167</f>
        <v>-18.009999999999998</v>
      </c>
      <c r="M168" s="261"/>
      <c r="O168" s="12">
        <f t="shared" si="13"/>
        <v>0</v>
      </c>
      <c r="P168" s="245"/>
      <c r="Q168" s="254"/>
      <c r="Y168" s="12">
        <v>167</v>
      </c>
    </row>
    <row r="169" spans="1:25" ht="12.75" customHeight="1" x14ac:dyDescent="0.2">
      <c r="A169" s="21"/>
      <c r="B169" s="38" t="s">
        <v>581</v>
      </c>
      <c r="C169" s="21" t="str">
        <f>HLOOKUP(Stats!$B$5,Info!$E$2:$DD$57,22,0)</f>
        <v>2/4</v>
      </c>
      <c r="D169" s="21" t="str">
        <f>IF(Stats!$B$6="","",HLOOKUP(Stats!$B$6,Info!$E$2:$DD$57,22,0))</f>
        <v>2/5</v>
      </c>
      <c r="E169" s="21"/>
      <c r="F169" s="21">
        <f>VLOOKUP(E169,Info!$HB$1:$HI$203,3)</f>
        <v>-15</v>
      </c>
      <c r="G169" s="21" t="s">
        <v>418</v>
      </c>
      <c r="H169" s="21">
        <f>Stats!$I$16</f>
        <v>4</v>
      </c>
      <c r="I169" s="21"/>
      <c r="J169" s="21"/>
      <c r="K169" s="76">
        <f t="shared" si="17"/>
        <v>-18.009999999999998</v>
      </c>
      <c r="M169" s="261"/>
      <c r="O169" s="12">
        <f t="shared" si="13"/>
        <v>0</v>
      </c>
      <c r="P169" s="245"/>
      <c r="Q169" s="254"/>
      <c r="Y169" s="12">
        <v>168</v>
      </c>
    </row>
    <row r="170" spans="1:25" ht="12.75" customHeight="1" x14ac:dyDescent="0.2">
      <c r="A170" s="21"/>
      <c r="B170" s="38" t="s">
        <v>582</v>
      </c>
      <c r="C170" s="21" t="str">
        <f>HLOOKUP(Stats!$B$5,Info!$E$2:$DD$57,22,0)</f>
        <v>2/4</v>
      </c>
      <c r="D170" s="21" t="str">
        <f>IF(Stats!$B$6="","",HLOOKUP(Stats!$B$6,Info!$E$2:$DD$57,22,0))</f>
        <v>2/5</v>
      </c>
      <c r="E170" s="21"/>
      <c r="F170" s="21">
        <f>VLOOKUP(E170,Info!$HB$1:$HI$203,3)</f>
        <v>-15</v>
      </c>
      <c r="G170" s="21" t="s">
        <v>418</v>
      </c>
      <c r="H170" s="21">
        <f>Stats!$I$16</f>
        <v>4</v>
      </c>
      <c r="I170" s="21"/>
      <c r="J170" s="21"/>
      <c r="K170" s="76">
        <f t="shared" si="17"/>
        <v>-18.009999999999998</v>
      </c>
      <c r="M170" s="261"/>
      <c r="O170" s="12">
        <f t="shared" si="13"/>
        <v>0</v>
      </c>
      <c r="P170" s="245"/>
      <c r="Q170" s="254"/>
      <c r="Y170" s="12">
        <v>169</v>
      </c>
    </row>
    <row r="171" spans="1:25" ht="12.75" customHeight="1" x14ac:dyDescent="0.2">
      <c r="A171" s="21"/>
      <c r="B171" s="38" t="s">
        <v>583</v>
      </c>
      <c r="C171" s="21" t="str">
        <f>HLOOKUP(Stats!$B$5,Info!$E$2:$DD$57,22,0)</f>
        <v>2/4</v>
      </c>
      <c r="D171" s="21" t="str">
        <f>IF(Stats!$B$6="","",HLOOKUP(Stats!$B$6,Info!$E$2:$DD$57,22,0))</f>
        <v>2/5</v>
      </c>
      <c r="E171" s="21"/>
      <c r="F171" s="21">
        <f>VLOOKUP(E171,Info!$HB$1:$HI$203,3)</f>
        <v>-15</v>
      </c>
      <c r="G171" s="21" t="s">
        <v>418</v>
      </c>
      <c r="H171" s="21">
        <f>Stats!$I$16</f>
        <v>4</v>
      </c>
      <c r="I171" s="21"/>
      <c r="J171" s="21"/>
      <c r="K171" s="76">
        <f t="shared" si="17"/>
        <v>-18.009999999999998</v>
      </c>
      <c r="M171" s="261"/>
      <c r="O171" s="12">
        <f t="shared" si="13"/>
        <v>0</v>
      </c>
      <c r="P171" s="245"/>
      <c r="Q171" s="254"/>
      <c r="Y171" s="12">
        <v>170</v>
      </c>
    </row>
    <row r="172" spans="1:25" ht="12.75" customHeight="1" x14ac:dyDescent="0.2">
      <c r="A172" s="21"/>
      <c r="B172" s="38" t="s">
        <v>584</v>
      </c>
      <c r="C172" s="21" t="str">
        <f>HLOOKUP(Stats!$B$5,Info!$E$2:$DD$57,22,0)</f>
        <v>2/4</v>
      </c>
      <c r="D172" s="21" t="str">
        <f>IF(Stats!$B$6="","",HLOOKUP(Stats!$B$6,Info!$E$2:$DD$57,22,0))</f>
        <v>2/5</v>
      </c>
      <c r="E172" s="21"/>
      <c r="F172" s="21">
        <f>VLOOKUP(E172,Info!$HB$1:$HI$203,3)</f>
        <v>-15</v>
      </c>
      <c r="G172" s="21" t="s">
        <v>418</v>
      </c>
      <c r="H172" s="21">
        <f>Stats!$I$16</f>
        <v>4</v>
      </c>
      <c r="I172" s="21"/>
      <c r="J172" s="21"/>
      <c r="K172" s="76">
        <f t="shared" si="17"/>
        <v>-18.009999999999998</v>
      </c>
      <c r="M172" s="261"/>
      <c r="O172" s="12">
        <f t="shared" si="13"/>
        <v>0</v>
      </c>
      <c r="P172" s="245"/>
      <c r="Q172" s="254"/>
      <c r="Y172" s="12">
        <v>171</v>
      </c>
    </row>
    <row r="173" spans="1:25" ht="12.75" customHeight="1" x14ac:dyDescent="0.2">
      <c r="A173" s="97"/>
      <c r="B173" s="155" t="s">
        <v>585</v>
      </c>
      <c r="C173" s="21" t="str">
        <f>HLOOKUP(Stats!$B$5,Info!$E$2:$DD$57,22,0)</f>
        <v>2/4</v>
      </c>
      <c r="D173" s="21" t="str">
        <f>IF(Stats!$B$6="","",HLOOKUP(Stats!$B$6,Info!$E$2:$DD$57,22,0))</f>
        <v>2/5</v>
      </c>
      <c r="E173" s="21"/>
      <c r="F173" s="21">
        <f>VLOOKUP(E173,Info!$HB$1:$HI$203,3)</f>
        <v>-15</v>
      </c>
      <c r="G173" s="21" t="s">
        <v>418</v>
      </c>
      <c r="H173" s="21">
        <f>Stats!$I$16</f>
        <v>4</v>
      </c>
      <c r="I173" s="21"/>
      <c r="J173" s="21"/>
      <c r="K173" s="76">
        <f t="shared" si="17"/>
        <v>-18.009999999999998</v>
      </c>
      <c r="M173" s="261"/>
      <c r="O173" s="12">
        <f t="shared" si="13"/>
        <v>0</v>
      </c>
      <c r="P173" s="245"/>
      <c r="Q173" s="254"/>
      <c r="Y173" s="12">
        <v>172</v>
      </c>
    </row>
    <row r="174" spans="1:25" ht="12.75" customHeight="1" x14ac:dyDescent="0.2">
      <c r="A174" s="116" t="s">
        <v>586</v>
      </c>
      <c r="B174" s="83"/>
      <c r="C174" s="100" t="str">
        <f>HLOOKUP(Stats!$B$5,Info!$E$2:$DD$57,23,0)</f>
        <v>3/7</v>
      </c>
      <c r="D174" s="100" t="str">
        <f>IF(Stats!$B$6="","",HLOOKUP(Stats!$B$6,Info!$E$2:$DD$57,23,0))</f>
        <v>3/7</v>
      </c>
      <c r="E174" s="153"/>
      <c r="F174" s="153">
        <f>VLOOKUP(E174,Info!$HB$1:$HI$203,2)</f>
        <v>-15</v>
      </c>
      <c r="G174" s="153" t="s">
        <v>400</v>
      </c>
      <c r="H174" s="153">
        <f>Stats!$I$18+Stats!$I$14</f>
        <v>8</v>
      </c>
      <c r="I174" s="171">
        <f>IF(Stats!$M$4="",HLOOKUP(Stats!$B$5,Info!$F$59:$DD$114,Info!$DF$24,0),((HLOOKUP(Stats!$B$5,Info!$F$59:$DD$114,Info!$DF$24,0)+HLOOKUP(Stats!$B$6,Info!$F$59:$DD$114,Info!$DF$24,0))/2-0.01))</f>
        <v>-0.01</v>
      </c>
      <c r="J174" s="153"/>
      <c r="K174" s="171">
        <f>F174+H174+I174+J174</f>
        <v>-7.01</v>
      </c>
      <c r="M174" s="261"/>
      <c r="O174" s="12">
        <f t="shared" si="13"/>
        <v>0</v>
      </c>
      <c r="P174" s="245"/>
      <c r="Q174" s="254"/>
      <c r="Y174" s="12">
        <v>173</v>
      </c>
    </row>
    <row r="175" spans="1:25" ht="12.75" customHeight="1" x14ac:dyDescent="0.2">
      <c r="A175" s="59"/>
      <c r="B175" s="138" t="s">
        <v>587</v>
      </c>
      <c r="C175" s="21" t="str">
        <f>HLOOKUP(Stats!$B$5,Info!$E$2:$DD$57,23,0)</f>
        <v>3/7</v>
      </c>
      <c r="D175" s="21" t="str">
        <f>IF(Stats!$B$6="","",HLOOKUP(Stats!$B$6,Info!$E$2:$DD$57,23,0))</f>
        <v>3/7</v>
      </c>
      <c r="E175" s="21"/>
      <c r="F175" s="21">
        <f>VLOOKUP(E175,Info!$HB$1:$HI$203,3)</f>
        <v>-15</v>
      </c>
      <c r="G175" s="21" t="s">
        <v>403</v>
      </c>
      <c r="H175" s="21">
        <f>Stats!$I$18</f>
        <v>-5</v>
      </c>
      <c r="I175" s="21"/>
      <c r="J175" s="21"/>
      <c r="K175" s="76">
        <f t="shared" ref="K175:K180" si="18">F175+H175+I175+J175+$K$174</f>
        <v>-27.009999999999998</v>
      </c>
      <c r="M175" s="261"/>
      <c r="O175" s="12">
        <f t="shared" si="13"/>
        <v>0</v>
      </c>
      <c r="P175" s="245"/>
      <c r="Q175" s="254"/>
      <c r="Y175" s="12">
        <v>174</v>
      </c>
    </row>
    <row r="176" spans="1:25" ht="12.75" customHeight="1" x14ac:dyDescent="0.2">
      <c r="A176" s="21"/>
      <c r="B176" s="38" t="s">
        <v>588</v>
      </c>
      <c r="C176" s="21" t="str">
        <f>HLOOKUP(Stats!$B$5,Info!$E$2:$DD$57,23,0)</f>
        <v>3/7</v>
      </c>
      <c r="D176" s="21" t="str">
        <f>IF(Stats!$B$6="","",HLOOKUP(Stats!$B$6,Info!$E$2:$DD$57,23,0))</f>
        <v>3/7</v>
      </c>
      <c r="E176" s="21"/>
      <c r="F176" s="21">
        <f>VLOOKUP(E176,Info!$HB$1:$HI$203,3)</f>
        <v>-15</v>
      </c>
      <c r="G176" s="21" t="s">
        <v>222</v>
      </c>
      <c r="H176" s="21">
        <f>Stats!$I$15</f>
        <v>1</v>
      </c>
      <c r="I176" s="21"/>
      <c r="J176" s="21"/>
      <c r="K176" s="76">
        <f t="shared" si="18"/>
        <v>-21.009999999999998</v>
      </c>
      <c r="M176" s="261"/>
      <c r="O176" s="12">
        <f t="shared" si="13"/>
        <v>0</v>
      </c>
      <c r="P176" s="245"/>
      <c r="Q176" s="254"/>
      <c r="Y176" s="12">
        <v>175</v>
      </c>
    </row>
    <row r="177" spans="1:25" ht="12.75" customHeight="1" x14ac:dyDescent="0.2">
      <c r="A177" s="21"/>
      <c r="B177" s="38" t="s">
        <v>589</v>
      </c>
      <c r="C177" s="21" t="str">
        <f>HLOOKUP(Stats!$B$5,Info!$E$2:$DD$57,23,0)</f>
        <v>3/7</v>
      </c>
      <c r="D177" s="21" t="str">
        <f>IF(Stats!$B$6="","",HLOOKUP(Stats!$B$6,Info!$E$2:$DD$57,23,0))</f>
        <v>3/7</v>
      </c>
      <c r="E177" s="21"/>
      <c r="F177" s="21">
        <f>VLOOKUP(E177,Info!$HB$1:$HI$203,3)</f>
        <v>-15</v>
      </c>
      <c r="G177" s="21" t="s">
        <v>222</v>
      </c>
      <c r="H177" s="21">
        <f>Stats!$I$15</f>
        <v>1</v>
      </c>
      <c r="I177" s="21"/>
      <c r="J177" s="21"/>
      <c r="K177" s="76">
        <f t="shared" si="18"/>
        <v>-21.009999999999998</v>
      </c>
      <c r="M177" s="261"/>
      <c r="O177" s="12">
        <f t="shared" si="13"/>
        <v>0</v>
      </c>
      <c r="P177" s="245"/>
      <c r="Q177" s="254"/>
      <c r="Y177" s="12">
        <v>176</v>
      </c>
    </row>
    <row r="178" spans="1:25" ht="12.75" customHeight="1" x14ac:dyDescent="0.2">
      <c r="A178" s="21"/>
      <c r="B178" s="38" t="s">
        <v>590</v>
      </c>
      <c r="C178" s="21" t="str">
        <f>HLOOKUP(Stats!$B$5,Info!$E$2:$DD$57,23,0)</f>
        <v>3/7</v>
      </c>
      <c r="D178" s="21" t="str">
        <f>IF(Stats!$B$6="","",HLOOKUP(Stats!$B$6,Info!$E$2:$DD$57,23,0))</f>
        <v>3/7</v>
      </c>
      <c r="E178" s="21"/>
      <c r="F178" s="21">
        <f>VLOOKUP(E178,Info!$HB$1:$HI$203,3)</f>
        <v>-15</v>
      </c>
      <c r="G178" s="21" t="s">
        <v>403</v>
      </c>
      <c r="H178" s="21">
        <f>Stats!$I$18</f>
        <v>-5</v>
      </c>
      <c r="I178" s="21"/>
      <c r="J178" s="21"/>
      <c r="K178" s="76">
        <f t="shared" si="18"/>
        <v>-27.009999999999998</v>
      </c>
      <c r="M178" s="261"/>
      <c r="O178" s="12">
        <f t="shared" si="13"/>
        <v>0</v>
      </c>
      <c r="P178" s="245"/>
      <c r="Q178" s="254"/>
      <c r="Y178" s="12">
        <v>177</v>
      </c>
    </row>
    <row r="179" spans="1:25" ht="12.75" customHeight="1" x14ac:dyDescent="0.2">
      <c r="A179" s="21"/>
      <c r="B179" s="38" t="s">
        <v>591</v>
      </c>
      <c r="C179" s="21" t="str">
        <f>HLOOKUP(Stats!$B$5,Info!$E$2:$DD$57,23,0)</f>
        <v>3/7</v>
      </c>
      <c r="D179" s="21" t="str">
        <f>IF(Stats!$B$6="","",HLOOKUP(Stats!$B$6,Info!$E$2:$DD$57,23,0))</f>
        <v>3/7</v>
      </c>
      <c r="E179" s="21"/>
      <c r="F179" s="21">
        <f>VLOOKUP(E179,Info!$HB$1:$HI$203,3)</f>
        <v>-15</v>
      </c>
      <c r="G179" s="21" t="s">
        <v>403</v>
      </c>
      <c r="H179" s="21">
        <f>Stats!$I$18</f>
        <v>-5</v>
      </c>
      <c r="I179" s="21"/>
      <c r="J179" s="21"/>
      <c r="K179" s="76">
        <f t="shared" si="18"/>
        <v>-27.009999999999998</v>
      </c>
      <c r="M179" s="261"/>
      <c r="O179" s="12">
        <f t="shared" si="13"/>
        <v>0</v>
      </c>
      <c r="P179" s="245"/>
      <c r="Q179" s="254"/>
      <c r="Y179" s="12">
        <v>178</v>
      </c>
    </row>
    <row r="180" spans="1:25" ht="12.75" customHeight="1" x14ac:dyDescent="0.2">
      <c r="A180" s="97"/>
      <c r="B180" s="155" t="s">
        <v>592</v>
      </c>
      <c r="C180" s="21" t="str">
        <f>HLOOKUP(Stats!$B$5,Info!$E$2:$DD$57,23,0)</f>
        <v>3/7</v>
      </c>
      <c r="D180" s="21" t="str">
        <f>IF(Stats!$B$6="","",HLOOKUP(Stats!$B$6,Info!$E$2:$DD$57,23,0))</f>
        <v>3/7</v>
      </c>
      <c r="E180" s="21"/>
      <c r="F180" s="21">
        <f>VLOOKUP(E180,Info!$HB$1:$HI$203,3)</f>
        <v>-15</v>
      </c>
      <c r="G180" s="21" t="s">
        <v>451</v>
      </c>
      <c r="H180" s="21">
        <f>Stats!$I$19</f>
        <v>16</v>
      </c>
      <c r="I180" s="21"/>
      <c r="J180" s="21"/>
      <c r="K180" s="76">
        <f t="shared" si="18"/>
        <v>-6.01</v>
      </c>
      <c r="M180" s="261"/>
      <c r="O180" s="12">
        <f t="shared" si="13"/>
        <v>0</v>
      </c>
      <c r="P180" s="245"/>
      <c r="Q180" s="254"/>
      <c r="Y180" s="12">
        <v>179</v>
      </c>
    </row>
    <row r="181" spans="1:25" ht="12.75" customHeight="1" x14ac:dyDescent="0.2">
      <c r="A181" s="116" t="s">
        <v>593</v>
      </c>
      <c r="B181" s="83"/>
      <c r="C181" s="100" t="str">
        <f>HLOOKUP(Stats!$B$5,Info!$E$2:$DD$57,24,0)</f>
        <v>3/7</v>
      </c>
      <c r="D181" s="100" t="str">
        <f>IF(Stats!$B$6="","",HLOOKUP(Stats!$B$6,Info!$E$2:$DD$57,24,0))</f>
        <v>3/7</v>
      </c>
      <c r="E181" s="153"/>
      <c r="F181" s="153">
        <f>VLOOKUP(E181,Info!$HB$1:$HI$203,2)</f>
        <v>-15</v>
      </c>
      <c r="G181" s="153" t="s">
        <v>406</v>
      </c>
      <c r="H181" s="153">
        <f>Stats!$I$18+Stats!$I$14</f>
        <v>8</v>
      </c>
      <c r="I181" s="171">
        <f>IF(Stats!$M$4="",HLOOKUP(Stats!$B$5,Info!$F$59:$DD$114,Info!$DF$25,0),((HLOOKUP(Stats!$B$5,Info!$F$59:$DD$114,Info!$DF$25,0)+HLOOKUP(Stats!$B$6,Info!$F$59:$DD$114,Info!$DF$25,0))/2-0.01))</f>
        <v>-0.01</v>
      </c>
      <c r="J181" s="153"/>
      <c r="K181" s="171">
        <f>F181+H181+I181+J181</f>
        <v>-7.01</v>
      </c>
      <c r="M181" s="261"/>
      <c r="O181" s="12">
        <f t="shared" si="13"/>
        <v>0</v>
      </c>
      <c r="P181" s="245"/>
      <c r="Q181" s="254"/>
      <c r="Y181" s="12">
        <v>180</v>
      </c>
    </row>
    <row r="182" spans="1:25" ht="12.75" customHeight="1" x14ac:dyDescent="0.2">
      <c r="A182" s="59"/>
      <c r="B182" s="138" t="s">
        <v>594</v>
      </c>
      <c r="C182" s="21" t="str">
        <f>HLOOKUP(Stats!$B$5,Info!$E$2:$DD$57,24,0)</f>
        <v>3/7</v>
      </c>
      <c r="D182" s="21" t="str">
        <f>IF(Stats!$B$6="","",HLOOKUP(Stats!$B$6,Info!$E$2:$DD$57,24,0))</f>
        <v>3/7</v>
      </c>
      <c r="E182" s="21"/>
      <c r="F182" s="21">
        <f>VLOOKUP(E182,Info!$HB$1:$HI$203,3)</f>
        <v>-15</v>
      </c>
      <c r="G182" s="21" t="s">
        <v>403</v>
      </c>
      <c r="H182" s="21">
        <f>Stats!$I$18</f>
        <v>-5</v>
      </c>
      <c r="I182" s="21"/>
      <c r="J182" s="21"/>
      <c r="K182" s="76">
        <f t="shared" ref="K182:K187" si="19">F182+H182+I182+J182+$K$181</f>
        <v>-27.009999999999998</v>
      </c>
      <c r="M182" s="261"/>
      <c r="O182" s="12">
        <f t="shared" si="13"/>
        <v>0</v>
      </c>
      <c r="P182" s="245"/>
      <c r="Q182" s="254"/>
      <c r="Y182" s="12">
        <v>181</v>
      </c>
    </row>
    <row r="183" spans="1:25" ht="12.75" customHeight="1" x14ac:dyDescent="0.2">
      <c r="A183" s="21"/>
      <c r="B183" s="38" t="s">
        <v>595</v>
      </c>
      <c r="C183" s="21" t="str">
        <f>HLOOKUP(Stats!$B$5,Info!$E$2:$DD$57,24,0)</f>
        <v>3/7</v>
      </c>
      <c r="D183" s="21" t="str">
        <f>IF(Stats!$B$6="","",HLOOKUP(Stats!$B$6,Info!$E$2:$DD$57,24,0))</f>
        <v>3/7</v>
      </c>
      <c r="E183" s="21"/>
      <c r="F183" s="21">
        <f>VLOOKUP(E183,Info!$HB$1:$HI$203,3)</f>
        <v>-15</v>
      </c>
      <c r="G183" s="21" t="s">
        <v>222</v>
      </c>
      <c r="H183" s="21">
        <f>Stats!$I$15</f>
        <v>1</v>
      </c>
      <c r="I183" s="21"/>
      <c r="J183" s="21"/>
      <c r="K183" s="76">
        <f t="shared" si="19"/>
        <v>-21.009999999999998</v>
      </c>
      <c r="M183" s="261"/>
      <c r="O183" s="12">
        <f t="shared" si="13"/>
        <v>0</v>
      </c>
      <c r="P183" s="245"/>
      <c r="Q183" s="254"/>
      <c r="Y183" s="12">
        <v>182</v>
      </c>
    </row>
    <row r="184" spans="1:25" ht="12.75" customHeight="1" x14ac:dyDescent="0.2">
      <c r="A184" s="21"/>
      <c r="B184" s="38" t="s">
        <v>596</v>
      </c>
      <c r="C184" s="21" t="str">
        <f>HLOOKUP(Stats!$B$5,Info!$E$2:$DD$57,24,0)</f>
        <v>3/7</v>
      </c>
      <c r="D184" s="21" t="str">
        <f>IF(Stats!$B$6="","",HLOOKUP(Stats!$B$6,Info!$E$2:$DD$57,24,0))</f>
        <v>3/7</v>
      </c>
      <c r="E184" s="21"/>
      <c r="F184" s="21">
        <f>VLOOKUP(E184,Info!$HB$1:$HI$203,3)</f>
        <v>-15</v>
      </c>
      <c r="G184" s="21" t="s">
        <v>222</v>
      </c>
      <c r="H184" s="21">
        <f>Stats!$I$15</f>
        <v>1</v>
      </c>
      <c r="I184" s="21"/>
      <c r="J184" s="21"/>
      <c r="K184" s="76">
        <f t="shared" si="19"/>
        <v>-21.009999999999998</v>
      </c>
      <c r="M184" s="261"/>
      <c r="O184" s="12">
        <f t="shared" si="13"/>
        <v>0</v>
      </c>
      <c r="P184" s="245"/>
      <c r="Q184" s="254"/>
      <c r="Y184" s="12">
        <v>183</v>
      </c>
    </row>
    <row r="185" spans="1:25" ht="12.75" customHeight="1" x14ac:dyDescent="0.2">
      <c r="A185" s="21"/>
      <c r="B185" s="38" t="s">
        <v>597</v>
      </c>
      <c r="C185" s="21" t="str">
        <f>HLOOKUP(Stats!$B$5,Info!$E$2:$DD$57,24,0)</f>
        <v>3/7</v>
      </c>
      <c r="D185" s="21" t="str">
        <f>IF(Stats!$B$6="","",HLOOKUP(Stats!$B$6,Info!$E$2:$DD$57,24,0))</f>
        <v>3/7</v>
      </c>
      <c r="E185" s="21"/>
      <c r="F185" s="21">
        <f>VLOOKUP(E185,Info!$HB$1:$HI$203,3)</f>
        <v>-15</v>
      </c>
      <c r="G185" s="21" t="s">
        <v>408</v>
      </c>
      <c r="H185" s="21">
        <f>Stats!$I$14</f>
        <v>13</v>
      </c>
      <c r="I185" s="21"/>
      <c r="J185" s="21"/>
      <c r="K185" s="76">
        <f t="shared" si="19"/>
        <v>-9.01</v>
      </c>
      <c r="M185" s="261"/>
      <c r="O185" s="12">
        <f t="shared" si="13"/>
        <v>0</v>
      </c>
      <c r="P185" s="245"/>
      <c r="Q185" s="254"/>
      <c r="Y185" s="12">
        <v>184</v>
      </c>
    </row>
    <row r="186" spans="1:25" ht="12.75" customHeight="1" x14ac:dyDescent="0.2">
      <c r="A186" s="21"/>
      <c r="B186" s="38" t="s">
        <v>598</v>
      </c>
      <c r="C186" s="21" t="str">
        <f>HLOOKUP(Stats!$B$5,Info!$E$2:$DD$57,24,0)</f>
        <v>3/7</v>
      </c>
      <c r="D186" s="21" t="str">
        <f>IF(Stats!$B$6="","",HLOOKUP(Stats!$B$6,Info!$E$2:$DD$57,24,0))</f>
        <v>3/7</v>
      </c>
      <c r="E186" s="21"/>
      <c r="F186" s="21">
        <f>VLOOKUP(E186,Info!$HB$1:$HI$203,3)</f>
        <v>-15</v>
      </c>
      <c r="G186" s="21" t="s">
        <v>408</v>
      </c>
      <c r="H186" s="21">
        <f>Stats!$I$14</f>
        <v>13</v>
      </c>
      <c r="I186" s="21"/>
      <c r="J186" s="21"/>
      <c r="K186" s="76">
        <f t="shared" si="19"/>
        <v>-9.01</v>
      </c>
      <c r="M186" s="261"/>
      <c r="O186" s="12">
        <f t="shared" si="13"/>
        <v>0</v>
      </c>
      <c r="P186" s="245"/>
      <c r="Q186" s="254"/>
      <c r="Y186" s="12">
        <v>185</v>
      </c>
    </row>
    <row r="187" spans="1:25" ht="12.75" customHeight="1" x14ac:dyDescent="0.2">
      <c r="A187" s="97"/>
      <c r="B187" s="155" t="s">
        <v>599</v>
      </c>
      <c r="C187" s="21" t="str">
        <f>HLOOKUP(Stats!$B$5,Info!$E$2:$DD$57,24,0)</f>
        <v>3/7</v>
      </c>
      <c r="D187" s="21" t="str">
        <f>IF(Stats!$B$6="","",HLOOKUP(Stats!$B$6,Info!$E$2:$DD$57,24,0))</f>
        <v>3/7</v>
      </c>
      <c r="E187" s="21"/>
      <c r="F187" s="21">
        <f>VLOOKUP(E187,Info!$HB$1:$HI$203,3)</f>
        <v>-15</v>
      </c>
      <c r="G187" s="21" t="s">
        <v>222</v>
      </c>
      <c r="H187" s="21">
        <f>Stats!$I$15</f>
        <v>1</v>
      </c>
      <c r="I187" s="21"/>
      <c r="J187" s="21"/>
      <c r="K187" s="76">
        <f t="shared" si="19"/>
        <v>-21.009999999999998</v>
      </c>
      <c r="M187" s="261"/>
      <c r="O187" s="12">
        <f t="shared" si="13"/>
        <v>0</v>
      </c>
      <c r="P187" s="245"/>
      <c r="Q187" s="254"/>
      <c r="Y187" s="12">
        <v>186</v>
      </c>
    </row>
    <row r="188" spans="1:25" ht="12.75" customHeight="1" x14ac:dyDescent="0.2">
      <c r="A188" s="116" t="s">
        <v>600</v>
      </c>
      <c r="B188" s="83"/>
      <c r="C188" s="100" t="str">
        <f>HLOOKUP(Stats!$B$5,Info!$E$2:$DD$57,25,0)</f>
        <v>2/5</v>
      </c>
      <c r="D188" s="100" t="str">
        <f>IF(Stats!$B$6="","",HLOOKUP(Stats!$B$6,Info!$E$2:$DD$57,25,0))</f>
        <v>1/5</v>
      </c>
      <c r="E188" s="153"/>
      <c r="F188" s="153">
        <f>VLOOKUP(E188,Info!$HB$1:$HI$203,2)</f>
        <v>-15</v>
      </c>
      <c r="G188" s="153" t="s">
        <v>601</v>
      </c>
      <c r="H188" s="153">
        <f>Stats!I14+Stats!I21</f>
        <v>17</v>
      </c>
      <c r="I188" s="171">
        <f>IF(Stats!$M$4="",HLOOKUP(Stats!$B$5,Info!$F$59:$DD$114,Info!$DF$26,0),((HLOOKUP(Stats!$B$5,Info!$F$59:$DD$114,Info!$DF$26,0)+HLOOKUP(Stats!$B$6,Info!$F$59:$DD$114,Info!$DF$26,0))/2-0.01))</f>
        <v>-0.01</v>
      </c>
      <c r="J188" s="153"/>
      <c r="K188" s="171">
        <f>F188+H188+I188+J188</f>
        <v>1.99</v>
      </c>
      <c r="M188" s="261"/>
      <c r="O188" s="12">
        <f t="shared" si="13"/>
        <v>0</v>
      </c>
      <c r="P188" s="245"/>
      <c r="Q188" s="254">
        <f>HLOOKUP(Stats!$B$2,Info!$EN$3:$GZ$48,Info!$HA$22,0)</f>
        <v>3</v>
      </c>
      <c r="Y188" s="12">
        <v>187</v>
      </c>
    </row>
    <row r="189" spans="1:25" ht="12.75" customHeight="1" x14ac:dyDescent="0.2">
      <c r="A189" s="59"/>
      <c r="B189" s="138" t="s">
        <v>602</v>
      </c>
      <c r="C189" s="21" t="str">
        <f>HLOOKUP(Stats!$B$5,Info!$E$2:$DD$57,25,0)</f>
        <v>2/5</v>
      </c>
      <c r="D189" s="21" t="str">
        <f>IF(Stats!$B$6="","",HLOOKUP(Stats!$B$6,Info!$E$2:$DD$57,25,0))</f>
        <v>1/5</v>
      </c>
      <c r="E189" s="21"/>
      <c r="F189" s="21">
        <f>VLOOKUP(E189,Info!$HB$1:$HI$203,3)</f>
        <v>-15</v>
      </c>
      <c r="G189" s="21" t="s">
        <v>481</v>
      </c>
      <c r="H189" s="21">
        <f>Stats!$I$21</f>
        <v>4</v>
      </c>
      <c r="I189" s="21"/>
      <c r="J189" s="21"/>
      <c r="K189" s="76">
        <f>F189+H189+I189+J189+$K$188</f>
        <v>-9.01</v>
      </c>
      <c r="M189" s="261"/>
      <c r="O189" s="12">
        <f t="shared" si="13"/>
        <v>0</v>
      </c>
      <c r="P189" s="245"/>
      <c r="Q189" s="254"/>
      <c r="Y189" s="12">
        <v>188</v>
      </c>
    </row>
    <row r="190" spans="1:25" ht="12.75" customHeight="1" x14ac:dyDescent="0.2">
      <c r="A190" s="164" t="s">
        <v>495</v>
      </c>
      <c r="B190" s="165" t="s">
        <v>603</v>
      </c>
      <c r="C190" s="21" t="str">
        <f>HLOOKUP(Stats!$B$5,Info!$E$2:$DD$57,25,0)</f>
        <v>2/5</v>
      </c>
      <c r="D190" s="21" t="str">
        <f>IF(Stats!$B$6="","",HLOOKUP(Stats!$B$6,Info!$E$2:$DD$57,25,0))</f>
        <v>1/5</v>
      </c>
      <c r="E190" s="21"/>
      <c r="F190" s="21">
        <f>VLOOKUP(E190,Info!$HB$1:$HI$203,3)</f>
        <v>-15</v>
      </c>
      <c r="G190" s="21" t="s">
        <v>428</v>
      </c>
      <c r="H190" s="21">
        <f>Stats!$I$20</f>
        <v>-6</v>
      </c>
      <c r="I190" s="21"/>
      <c r="J190" s="21"/>
      <c r="K190" s="76">
        <f>F190+H190+I190+J190+$K$188</f>
        <v>-19.010000000000002</v>
      </c>
      <c r="M190" s="261"/>
      <c r="O190" s="12">
        <f t="shared" si="13"/>
        <v>0</v>
      </c>
      <c r="P190" s="245"/>
      <c r="Q190" s="254"/>
      <c r="Y190" s="12">
        <v>189</v>
      </c>
    </row>
    <row r="191" spans="1:25" ht="12.75" customHeight="1" x14ac:dyDescent="0.2">
      <c r="A191" s="21"/>
      <c r="B191" s="38" t="s">
        <v>604</v>
      </c>
      <c r="C191" s="21" t="str">
        <f>HLOOKUP(Stats!$B$5,Info!$E$2:$DD$57,25,0)</f>
        <v>2/5</v>
      </c>
      <c r="D191" s="21" t="str">
        <f>IF(Stats!$B$6="","",HLOOKUP(Stats!$B$6,Info!$E$2:$DD$57,25,0))</f>
        <v>1/5</v>
      </c>
      <c r="E191" s="21"/>
      <c r="F191" s="21">
        <f>VLOOKUP(E191,Info!$HB$1:$HI$203,3)</f>
        <v>-15</v>
      </c>
      <c r="G191" s="21" t="s">
        <v>222</v>
      </c>
      <c r="H191" s="21">
        <f>Stats!$I$15</f>
        <v>1</v>
      </c>
      <c r="I191" s="21"/>
      <c r="J191" s="21"/>
      <c r="K191" s="76">
        <f>F191+H191+I191+J191+$K$188</f>
        <v>-12.01</v>
      </c>
      <c r="M191" s="261"/>
      <c r="O191" s="12">
        <f t="shared" si="13"/>
        <v>0</v>
      </c>
      <c r="P191" s="245"/>
      <c r="Q191" s="254"/>
      <c r="Y191" s="12">
        <v>190</v>
      </c>
    </row>
    <row r="192" spans="1:25" ht="12.75" customHeight="1" x14ac:dyDescent="0.2">
      <c r="A192" s="21"/>
      <c r="B192" s="38" t="s">
        <v>605</v>
      </c>
      <c r="C192" s="21" t="str">
        <f>HLOOKUP(Stats!$B$5,Info!$E$2:$DD$57,25,0)</f>
        <v>2/5</v>
      </c>
      <c r="D192" s="21" t="str">
        <f>IF(Stats!$B$6="","",HLOOKUP(Stats!$B$6,Info!$E$2:$DD$57,25,0))</f>
        <v>1/5</v>
      </c>
      <c r="E192" s="21"/>
      <c r="F192" s="21">
        <f>VLOOKUP(E192,Info!$HB$1:$HI$203,3)</f>
        <v>-15</v>
      </c>
      <c r="G192" s="21" t="s">
        <v>464</v>
      </c>
      <c r="H192" s="21">
        <f>Stats!$I$22</f>
        <v>4</v>
      </c>
      <c r="I192" s="21"/>
      <c r="J192" s="21"/>
      <c r="K192" s="76">
        <f>F192+H192+I192+J192+$K$188</f>
        <v>-9.01</v>
      </c>
      <c r="M192" s="261"/>
      <c r="O192" s="12">
        <f t="shared" si="13"/>
        <v>0</v>
      </c>
      <c r="P192" s="245"/>
      <c r="Q192" s="254"/>
      <c r="Y192" s="12">
        <v>191</v>
      </c>
    </row>
    <row r="193" spans="1:25" ht="12.75" customHeight="1" x14ac:dyDescent="0.2">
      <c r="A193" s="97"/>
      <c r="B193" s="155" t="s">
        <v>606</v>
      </c>
      <c r="C193" s="21" t="str">
        <f>HLOOKUP(Stats!$B$5,Info!$E$2:$DD$57,25,0)</f>
        <v>2/5</v>
      </c>
      <c r="D193" s="21" t="str">
        <f>IF(Stats!$B$6="","",HLOOKUP(Stats!$B$6,Info!$E$2:$DD$57,25,0))</f>
        <v>1/5</v>
      </c>
      <c r="E193" s="21"/>
      <c r="F193" s="21">
        <f>VLOOKUP(E193,Info!$HB$1:$HI$203,3)</f>
        <v>-15</v>
      </c>
      <c r="G193" s="21" t="s">
        <v>481</v>
      </c>
      <c r="H193" s="21">
        <f>Stats!$I$21</f>
        <v>4</v>
      </c>
      <c r="I193" s="21"/>
      <c r="J193" s="21"/>
      <c r="K193" s="76">
        <f>F193+H193+I193+J193+$K$188</f>
        <v>-9.01</v>
      </c>
      <c r="M193" s="261"/>
      <c r="O193" s="12">
        <f t="shared" si="13"/>
        <v>0</v>
      </c>
      <c r="P193" s="245"/>
      <c r="Q193" s="254"/>
      <c r="Y193" s="12">
        <v>192</v>
      </c>
    </row>
    <row r="194" spans="1:25" ht="12.75" customHeight="1" x14ac:dyDescent="0.2">
      <c r="A194" s="116" t="s">
        <v>607</v>
      </c>
      <c r="B194" s="83"/>
      <c r="C194" s="100" t="str">
        <f>HLOOKUP(Stats!$B$5,Info!$E$2:$DD$57,26,0)</f>
        <v>2/6</v>
      </c>
      <c r="D194" s="100" t="str">
        <f>IF(Stats!$B$6="","",HLOOKUP(Stats!$B$6,Info!$E$2:$DD$57,26,0))</f>
        <v>2/4</v>
      </c>
      <c r="E194" s="153"/>
      <c r="F194" s="153">
        <f>VLOOKUP(E194,Info!$HB$1:$HI$203,2)</f>
        <v>-15</v>
      </c>
      <c r="G194" s="153" t="s">
        <v>608</v>
      </c>
      <c r="H194" s="153">
        <f>Stats!I15+Stats!I22</f>
        <v>5</v>
      </c>
      <c r="I194" s="171">
        <f>IF(Stats!$M$4="",HLOOKUP(Stats!$B$5,Info!$F$59:$DD$114,Info!$DF$27,0),((HLOOKUP(Stats!$B$5,Info!$F$59:$DD$114,Info!$DF$27,0)+HLOOKUP(Stats!$B$6,Info!$F$59:$DD$114,Info!$DF$27,0))/2-0.01))</f>
        <v>-0.01</v>
      </c>
      <c r="J194" s="153"/>
      <c r="K194" s="171">
        <f>F194+H194+I194+J194</f>
        <v>-10.01</v>
      </c>
      <c r="M194" s="261"/>
      <c r="O194" s="12">
        <f t="shared" si="13"/>
        <v>0</v>
      </c>
      <c r="P194" s="245"/>
      <c r="Q194" s="254">
        <f>HLOOKUP(Stats!$B$2,Info!$EN$3:$GZ$48,Info!$HA$24,0)</f>
        <v>5</v>
      </c>
      <c r="Y194" s="12">
        <v>193</v>
      </c>
    </row>
    <row r="195" spans="1:25" ht="12.75" customHeight="1" x14ac:dyDescent="0.2">
      <c r="A195" s="59"/>
      <c r="B195" s="138" t="s">
        <v>609</v>
      </c>
      <c r="C195" s="21" t="str">
        <f>HLOOKUP(Stats!$B$5,Info!$E$2:$DD$57,26,0)</f>
        <v>2/6</v>
      </c>
      <c r="D195" s="21" t="str">
        <f>IF(Stats!$B$6="","",HLOOKUP(Stats!$B$6,Info!$E$2:$DD$57,26,0))</f>
        <v>2/4</v>
      </c>
      <c r="E195" s="21"/>
      <c r="F195" s="21">
        <f>VLOOKUP(E195,Info!$HB$1:$HI$203,3)</f>
        <v>-15</v>
      </c>
      <c r="G195" s="21" t="s">
        <v>418</v>
      </c>
      <c r="H195" s="21">
        <f>Stats!$I$16</f>
        <v>4</v>
      </c>
      <c r="I195" s="21"/>
      <c r="J195" s="21"/>
      <c r="K195" s="76">
        <f>F195+H195+I195+J195+$K$194</f>
        <v>-21.009999999999998</v>
      </c>
      <c r="M195" s="261"/>
      <c r="O195" s="12">
        <f t="shared" si="13"/>
        <v>0</v>
      </c>
      <c r="P195" s="245"/>
      <c r="Q195" s="254"/>
      <c r="Y195" s="12">
        <v>194</v>
      </c>
    </row>
    <row r="196" spans="1:25" ht="12.75" customHeight="1" x14ac:dyDescent="0.2">
      <c r="A196" s="21"/>
      <c r="B196" s="38" t="s">
        <v>611</v>
      </c>
      <c r="C196" s="21" t="str">
        <f>HLOOKUP(Stats!$B$5,Info!$E$2:$DD$57,26,0)</f>
        <v>2/6</v>
      </c>
      <c r="D196" s="21" t="str">
        <f>IF(Stats!$B$6="","",HLOOKUP(Stats!$B$6,Info!$E$2:$DD$57,26,0))</f>
        <v>2/4</v>
      </c>
      <c r="E196" s="21"/>
      <c r="F196" s="21">
        <f>VLOOKUP(E196,Info!$HB$1:$HI$203,3)</f>
        <v>-15</v>
      </c>
      <c r="G196" s="21" t="s">
        <v>481</v>
      </c>
      <c r="H196" s="21">
        <f>Stats!$I$21</f>
        <v>4</v>
      </c>
      <c r="I196" s="21"/>
      <c r="J196" s="21"/>
      <c r="K196" s="76">
        <f>F196+H196+I196+J196+$K$194</f>
        <v>-21.009999999999998</v>
      </c>
      <c r="M196" s="261"/>
      <c r="O196" s="12">
        <f t="shared" si="13"/>
        <v>0</v>
      </c>
      <c r="P196" s="245"/>
      <c r="Q196" s="254"/>
      <c r="Y196" s="12">
        <v>195</v>
      </c>
    </row>
    <row r="197" spans="1:25" ht="12.75" customHeight="1" x14ac:dyDescent="0.2">
      <c r="A197" s="21"/>
      <c r="B197" s="38" t="s">
        <v>611</v>
      </c>
      <c r="C197" s="21" t="str">
        <f>HLOOKUP(Stats!$B$5,Info!$E$2:$DD$57,26,0)</f>
        <v>2/6</v>
      </c>
      <c r="D197" s="21" t="str">
        <f>IF(Stats!$B$6="","",HLOOKUP(Stats!$B$6,Info!$E$2:$DD$57,26,0))</f>
        <v>2/4</v>
      </c>
      <c r="E197" s="21"/>
      <c r="F197" s="21">
        <f>VLOOKUP(E197,Info!$HB$1:$HI$203,3)</f>
        <v>-15</v>
      </c>
      <c r="G197" s="21" t="s">
        <v>481</v>
      </c>
      <c r="H197" s="21">
        <f>Stats!$I$21</f>
        <v>4</v>
      </c>
      <c r="I197" s="21"/>
      <c r="J197" s="21"/>
      <c r="K197" s="76">
        <f t="shared" ref="K197:K198" si="20">F197+H197+I197+J197+$K$194</f>
        <v>-21.009999999999998</v>
      </c>
      <c r="M197" s="261"/>
      <c r="O197" s="12">
        <f t="shared" si="13"/>
        <v>0</v>
      </c>
      <c r="P197" s="245"/>
      <c r="Q197" s="254"/>
      <c r="Y197" s="12">
        <v>196</v>
      </c>
    </row>
    <row r="198" spans="1:25" ht="12.75" customHeight="1" x14ac:dyDescent="0.2">
      <c r="A198" s="21"/>
      <c r="B198" s="38" t="s">
        <v>611</v>
      </c>
      <c r="C198" s="21" t="str">
        <f>HLOOKUP(Stats!$B$5,Info!$E$2:$DD$57,26,0)</f>
        <v>2/6</v>
      </c>
      <c r="D198" s="21" t="str">
        <f>IF(Stats!$B$6="","",HLOOKUP(Stats!$B$6,Info!$E$2:$DD$57,26,0))</f>
        <v>2/4</v>
      </c>
      <c r="E198" s="21"/>
      <c r="F198" s="21">
        <f>VLOOKUP(E198,Info!$HB$1:$HI$203,3)</f>
        <v>-15</v>
      </c>
      <c r="G198" s="21" t="s">
        <v>481</v>
      </c>
      <c r="H198" s="21">
        <f>Stats!$I$21</f>
        <v>4</v>
      </c>
      <c r="I198" s="21"/>
      <c r="J198" s="21"/>
      <c r="K198" s="76">
        <f t="shared" si="20"/>
        <v>-21.009999999999998</v>
      </c>
      <c r="M198" s="261"/>
      <c r="O198" s="12">
        <f t="shared" si="13"/>
        <v>0</v>
      </c>
      <c r="P198" s="245"/>
      <c r="Q198" s="254"/>
      <c r="Y198" s="12">
        <v>197</v>
      </c>
    </row>
    <row r="199" spans="1:25" ht="12.75" customHeight="1" x14ac:dyDescent="0.2">
      <c r="A199" s="21"/>
      <c r="B199" s="38" t="s">
        <v>612</v>
      </c>
      <c r="C199" s="21" t="str">
        <f>HLOOKUP(Stats!$B$5,Info!$E$2:$DD$57,26,0)</f>
        <v>2/6</v>
      </c>
      <c r="D199" s="21" t="str">
        <f>IF(Stats!$B$6="","",HLOOKUP(Stats!$B$6,Info!$E$2:$DD$57,26,0))</f>
        <v>2/4</v>
      </c>
      <c r="E199" s="21"/>
      <c r="F199" s="21">
        <f>VLOOKUP(E199,Info!$HB$1:$HI$203,3)</f>
        <v>-15</v>
      </c>
      <c r="G199" s="21" t="s">
        <v>481</v>
      </c>
      <c r="H199" s="21">
        <f>Stats!$I$21</f>
        <v>4</v>
      </c>
      <c r="I199" s="21"/>
      <c r="J199" s="21"/>
      <c r="K199" s="76">
        <f>F199+H199+I199+J199+$K$194</f>
        <v>-21.009999999999998</v>
      </c>
      <c r="M199" s="261"/>
      <c r="O199" s="12">
        <f t="shared" si="13"/>
        <v>0</v>
      </c>
      <c r="P199" s="245"/>
      <c r="Q199" s="254"/>
      <c r="Y199" s="12">
        <v>198</v>
      </c>
    </row>
    <row r="200" spans="1:25" ht="12.75" customHeight="1" x14ac:dyDescent="0.2">
      <c r="A200" s="21"/>
      <c r="B200" s="38" t="s">
        <v>613</v>
      </c>
      <c r="C200" s="21" t="str">
        <f>HLOOKUP(Stats!$B$5,Info!$E$2:$DD$57,26,0)</f>
        <v>2/6</v>
      </c>
      <c r="D200" s="21" t="str">
        <f>IF(Stats!$B$6="","",HLOOKUP(Stats!$B$6,Info!$E$2:$DD$57,26,0))</f>
        <v>2/4</v>
      </c>
      <c r="E200" s="21"/>
      <c r="F200" s="21">
        <f>VLOOKUP(E200,Info!$HB$1:$HI$203,3)</f>
        <v>-15</v>
      </c>
      <c r="G200" s="21" t="s">
        <v>418</v>
      </c>
      <c r="H200" s="21">
        <f>Stats!$I$16</f>
        <v>4</v>
      </c>
      <c r="I200" s="21"/>
      <c r="J200" s="21"/>
      <c r="K200" s="76">
        <f>F200+H200+I200+J200+$K$194</f>
        <v>-21.009999999999998</v>
      </c>
      <c r="M200" s="261"/>
      <c r="O200" s="12">
        <f t="shared" ref="O200:O204" si="21">E200+M200</f>
        <v>0</v>
      </c>
      <c r="P200" s="245"/>
      <c r="Q200" s="254"/>
      <c r="Y200" s="12">
        <v>199</v>
      </c>
    </row>
    <row r="201" spans="1:25" ht="12.75" customHeight="1" x14ac:dyDescent="0.2">
      <c r="A201" s="21"/>
      <c r="B201" s="38" t="s">
        <v>615</v>
      </c>
      <c r="C201" s="21" t="str">
        <f>HLOOKUP(Stats!$B$5,Info!$E$2:$DD$57,26,0)</f>
        <v>2/6</v>
      </c>
      <c r="D201" s="21" t="str">
        <f>IF(Stats!$B$6="","",HLOOKUP(Stats!$B$6,Info!$E$2:$DD$57,26,0))</f>
        <v>2/4</v>
      </c>
      <c r="E201" s="21"/>
      <c r="F201" s="21">
        <f>VLOOKUP(E201,Info!$HB$1:$HI$203,3)</f>
        <v>-15</v>
      </c>
      <c r="G201" s="21" t="s">
        <v>464</v>
      </c>
      <c r="H201" s="21">
        <f>Stats!$I$22</f>
        <v>4</v>
      </c>
      <c r="I201" s="21"/>
      <c r="J201" s="21"/>
      <c r="K201" s="76">
        <f>F201+H201+I201+J201+$K$194</f>
        <v>-21.009999999999998</v>
      </c>
      <c r="M201" s="261"/>
      <c r="O201" s="12">
        <f t="shared" si="21"/>
        <v>0</v>
      </c>
      <c r="P201" s="245"/>
      <c r="Q201" s="254"/>
      <c r="Y201" s="12">
        <v>200</v>
      </c>
    </row>
    <row r="202" spans="1:25" ht="12.75" customHeight="1" x14ac:dyDescent="0.2">
      <c r="A202" s="97"/>
      <c r="B202" s="38" t="s">
        <v>615</v>
      </c>
      <c r="C202" s="21" t="str">
        <f>HLOOKUP(Stats!$B$5,Info!$E$2:$DD$57,26,0)</f>
        <v>2/6</v>
      </c>
      <c r="D202" s="21" t="str">
        <f>IF(Stats!$B$6="","",HLOOKUP(Stats!$B$6,Info!$E$2:$DD$57,26,0))</f>
        <v>2/4</v>
      </c>
      <c r="E202" s="21"/>
      <c r="F202" s="21">
        <f>VLOOKUP(E202,Info!$HB$1:$HI$203,3)</f>
        <v>-15</v>
      </c>
      <c r="G202" s="21" t="s">
        <v>464</v>
      </c>
      <c r="H202" s="21">
        <f>Stats!$I$22</f>
        <v>4</v>
      </c>
      <c r="I202" s="21"/>
      <c r="J202" s="21"/>
      <c r="K202" s="76">
        <f t="shared" ref="K202:K203" si="22">F202+H202+I202+J202+$K$194</f>
        <v>-21.009999999999998</v>
      </c>
      <c r="M202" s="261"/>
      <c r="O202" s="12">
        <f t="shared" si="21"/>
        <v>0</v>
      </c>
      <c r="P202" s="245"/>
      <c r="Q202" s="254"/>
      <c r="Y202" s="12">
        <v>201</v>
      </c>
    </row>
    <row r="203" spans="1:25" ht="12.75" customHeight="1" x14ac:dyDescent="0.2">
      <c r="A203" s="97"/>
      <c r="B203" s="155" t="s">
        <v>615</v>
      </c>
      <c r="C203" s="21" t="str">
        <f>HLOOKUP(Stats!$B$5,Info!$E$2:$DD$57,26,0)</f>
        <v>2/6</v>
      </c>
      <c r="D203" s="21" t="str">
        <f>IF(Stats!$B$6="","",HLOOKUP(Stats!$B$6,Info!$E$2:$DD$57,26,0))</f>
        <v>2/4</v>
      </c>
      <c r="E203" s="21"/>
      <c r="F203" s="21">
        <f>VLOOKUP(E203,Info!$HB$1:$HI$203,3)</f>
        <v>-15</v>
      </c>
      <c r="G203" s="21" t="s">
        <v>464</v>
      </c>
      <c r="H203" s="21">
        <f>Stats!$I$22</f>
        <v>4</v>
      </c>
      <c r="I203" s="21"/>
      <c r="J203" s="21"/>
      <c r="K203" s="76">
        <f t="shared" si="22"/>
        <v>-21.009999999999998</v>
      </c>
      <c r="M203" s="261"/>
      <c r="O203" s="12">
        <f t="shared" si="21"/>
        <v>0</v>
      </c>
      <c r="P203" s="245"/>
      <c r="Q203" s="254"/>
      <c r="Y203" s="12">
        <v>202</v>
      </c>
    </row>
    <row r="204" spans="1:25" ht="12.75" customHeight="1" x14ac:dyDescent="0.2">
      <c r="A204" s="274"/>
      <c r="B204" s="240" t="s">
        <v>616</v>
      </c>
      <c r="C204" s="131" t="str">
        <f>HLOOKUP(Stats!$B$5,Info!$E$2:$DD$57,26,0)</f>
        <v>2/6</v>
      </c>
      <c r="D204" s="21" t="str">
        <f>IF(Stats!$B$6="","",HLOOKUP(Stats!$B$6,Info!$E$2:$DD$57,26,0))</f>
        <v>2/4</v>
      </c>
      <c r="E204" s="21"/>
      <c r="F204" s="21">
        <f>VLOOKUP(E204,Info!$HB$1:$HI$203,3)</f>
        <v>-15</v>
      </c>
      <c r="G204" s="21" t="s">
        <v>464</v>
      </c>
      <c r="H204" s="21">
        <f>Stats!$I$22</f>
        <v>4</v>
      </c>
      <c r="I204" s="21"/>
      <c r="J204" s="21"/>
      <c r="K204" s="76">
        <f>F204+H204+I204+J204+$K$194</f>
        <v>-21.009999999999998</v>
      </c>
      <c r="M204" s="261"/>
      <c r="O204" s="12">
        <f t="shared" si="21"/>
        <v>0</v>
      </c>
      <c r="P204" s="245"/>
      <c r="Q204" s="254"/>
      <c r="Y204" s="12">
        <v>203</v>
      </c>
    </row>
    <row r="205" spans="1:25" ht="12.75" customHeight="1" x14ac:dyDescent="0.2">
      <c r="A205" s="311" t="s">
        <v>385</v>
      </c>
      <c r="B205" s="311"/>
      <c r="C205" s="17" t="s">
        <v>4130</v>
      </c>
      <c r="D205" s="17" t="s">
        <v>4131</v>
      </c>
      <c r="E205" s="17" t="s">
        <v>386</v>
      </c>
      <c r="F205" s="17" t="s">
        <v>387</v>
      </c>
      <c r="G205" s="17" t="s">
        <v>388</v>
      </c>
      <c r="H205" s="147" t="s">
        <v>389</v>
      </c>
      <c r="I205" s="17" t="s">
        <v>390</v>
      </c>
      <c r="J205" s="148" t="s">
        <v>207</v>
      </c>
      <c r="K205" s="148" t="s">
        <v>209</v>
      </c>
      <c r="M205" s="261"/>
      <c r="O205" s="12" t="s">
        <v>386</v>
      </c>
      <c r="P205" s="245"/>
      <c r="Q205" s="254"/>
      <c r="Y205" s="12">
        <v>204</v>
      </c>
    </row>
    <row r="206" spans="1:25" ht="12.75" customHeight="1" x14ac:dyDescent="0.2">
      <c r="A206" s="116" t="s">
        <v>617</v>
      </c>
      <c r="B206" s="83"/>
      <c r="C206" s="100" t="str">
        <f>HLOOKUP(Stats!$B$5,Info!$E$2:$DD$57,27,0)</f>
        <v>6</v>
      </c>
      <c r="D206" s="100" t="str">
        <f>IF(Stats!$B$6="","",HLOOKUP(Stats!$B$6,Info!$E$2:$DD$57,27,0))</f>
        <v>7</v>
      </c>
      <c r="E206" s="153"/>
      <c r="F206" s="153">
        <f>VLOOKUP(E206,Info!$HB$1:$HI$203,2)</f>
        <v>-15</v>
      </c>
      <c r="G206" s="153" t="s">
        <v>426</v>
      </c>
      <c r="H206" s="153">
        <f>Stats!$I$22+Stats!$I$21</f>
        <v>8</v>
      </c>
      <c r="I206" s="171">
        <f>IF(Stats!$M$4="",HLOOKUP(Stats!$B$5,Info!$F$59:$DD$114,Info!$DF$28,0),((HLOOKUP(Stats!$B$5,Info!$F$59:$DD$114,Info!$DF$28,0)+HLOOKUP(Stats!$B$6,Info!$F$59:$DD$114,Info!$DF$28,0))/2-0.01))</f>
        <v>-0.01</v>
      </c>
      <c r="J206" s="153"/>
      <c r="K206" s="171">
        <f>F206+H206+I206+J206</f>
        <v>-7.01</v>
      </c>
      <c r="M206" s="261"/>
      <c r="O206" s="12">
        <f t="shared" ref="O206:O237" si="23">E206+M206</f>
        <v>0</v>
      </c>
      <c r="P206" s="245"/>
      <c r="Q206" s="254">
        <f>HLOOKUP(Stats!$B$2,Info!$EN$3:$GZ$48,Info!$HA$25,0)</f>
        <v>1</v>
      </c>
      <c r="Y206" s="12">
        <v>205</v>
      </c>
    </row>
    <row r="207" spans="1:25" ht="12.75" customHeight="1" x14ac:dyDescent="0.2">
      <c r="A207" s="59"/>
      <c r="B207" s="138" t="s">
        <v>618</v>
      </c>
      <c r="C207" s="21" t="str">
        <f>HLOOKUP(Stats!$B$5,Info!$E$2:$DD$57,27,0)</f>
        <v>6</v>
      </c>
      <c r="D207" s="21" t="str">
        <f>IF(Stats!$B$6="","",HLOOKUP(Stats!$B$6,Info!$E$2:$DD$57,27,0))</f>
        <v>7</v>
      </c>
      <c r="E207" s="21"/>
      <c r="F207" s="21">
        <f>VLOOKUP(E207,Info!$HB$1:$HI$203,3)</f>
        <v>-15</v>
      </c>
      <c r="G207" s="21" t="s">
        <v>428</v>
      </c>
      <c r="H207" s="21">
        <f>Stats!$I$20</f>
        <v>-6</v>
      </c>
      <c r="I207" s="21"/>
      <c r="J207" s="21"/>
      <c r="K207" s="76">
        <f>F207+H207+I207+J207+$K$206</f>
        <v>-28.009999999999998</v>
      </c>
      <c r="M207" s="261"/>
      <c r="O207" s="12">
        <f t="shared" si="23"/>
        <v>0</v>
      </c>
      <c r="P207" s="245"/>
      <c r="Q207" s="254"/>
      <c r="Y207" s="12">
        <v>206</v>
      </c>
    </row>
    <row r="208" spans="1:25" ht="12.75" customHeight="1" x14ac:dyDescent="0.2">
      <c r="A208" s="21"/>
      <c r="B208" s="38" t="s">
        <v>621</v>
      </c>
      <c r="C208" s="21" t="str">
        <f>HLOOKUP(Stats!$B$5,Info!$E$2:$DD$57,27,0)</f>
        <v>6</v>
      </c>
      <c r="D208" s="21" t="str">
        <f>IF(Stats!$B$6="","",HLOOKUP(Stats!$B$6,Info!$E$2:$DD$57,27,0))</f>
        <v>7</v>
      </c>
      <c r="E208" s="21"/>
      <c r="F208" s="21">
        <f>VLOOKUP(E208,Info!$HB$1:$HI$203,3)</f>
        <v>-15</v>
      </c>
      <c r="G208" s="21" t="s">
        <v>418</v>
      </c>
      <c r="H208" s="21">
        <f>Stats!$I$16</f>
        <v>4</v>
      </c>
      <c r="I208" s="21"/>
      <c r="J208" s="21"/>
      <c r="K208" s="76">
        <f>F208+H208+I208+J208+$K$206</f>
        <v>-18.009999999999998</v>
      </c>
      <c r="M208" s="261"/>
      <c r="O208" s="12">
        <f t="shared" si="23"/>
        <v>0</v>
      </c>
      <c r="P208" s="245"/>
      <c r="Q208" s="254"/>
      <c r="Y208" s="12">
        <v>207</v>
      </c>
    </row>
    <row r="209" spans="1:25" ht="12.75" customHeight="1" x14ac:dyDescent="0.2">
      <c r="A209" s="162" t="s">
        <v>622</v>
      </c>
      <c r="B209" s="60"/>
      <c r="C209" s="60"/>
      <c r="D209" s="60"/>
      <c r="E209" s="42"/>
      <c r="F209" s="42"/>
      <c r="G209" s="42" t="s">
        <v>426</v>
      </c>
      <c r="H209" s="42">
        <f>Stats!$I$22+Stats!$I$21</f>
        <v>8</v>
      </c>
      <c r="I209" s="171">
        <f>IF(Stats!$M$4="",HLOOKUP(Stats!$B$5,Info!$F$59:$DD$114,Info!$DF$29,0),((HLOOKUP(Stats!$B$5,Info!$F$59:$DD$114,Info!$DF$29,0)+HLOOKUP(Stats!$B$6,Info!$F$59:$DD$114,Info!$DF$29,0))/2-0.01))</f>
        <v>-0.01</v>
      </c>
      <c r="J209" s="42"/>
      <c r="K209" s="271">
        <f>F209+H209+I209+J209</f>
        <v>7.99</v>
      </c>
      <c r="M209" s="261"/>
      <c r="O209" s="12">
        <f t="shared" si="23"/>
        <v>0</v>
      </c>
      <c r="P209" s="245"/>
      <c r="Q209" s="254"/>
      <c r="Y209" s="12">
        <v>208</v>
      </c>
    </row>
    <row r="210" spans="1:25" ht="12.75" customHeight="1" x14ac:dyDescent="0.2">
      <c r="A210" s="59"/>
      <c r="B210" s="138" t="s">
        <v>4119</v>
      </c>
      <c r="C210" s="21" t="str">
        <f>HLOOKUP(Stats!$B$5,Info!$E$2:$DD$57,28,0)</f>
        <v>18</v>
      </c>
      <c r="D210" s="21" t="str">
        <f>IF(Stats!$B$6="","",HLOOKUP(Stats!$B$6,Info!$E$2:$DD$57,28,0))</f>
        <v>12</v>
      </c>
      <c r="E210" s="21"/>
      <c r="F210" s="21">
        <f>VLOOKUP(E210,Info!$HB$1:$HI$203,5)</f>
        <v>-30</v>
      </c>
      <c r="G210" s="21" t="s">
        <v>222</v>
      </c>
      <c r="H210" s="21">
        <f>Stats!$I$15</f>
        <v>1</v>
      </c>
      <c r="I210" s="21"/>
      <c r="J210" s="21"/>
      <c r="K210" s="76">
        <f t="shared" ref="K210:K216" si="24">F210+H210+I210+J210+$K$209</f>
        <v>-21.009999999999998</v>
      </c>
      <c r="M210" s="261"/>
      <c r="O210" s="12">
        <f t="shared" si="23"/>
        <v>0</v>
      </c>
      <c r="P210" s="245"/>
      <c r="Q210" s="254"/>
      <c r="Y210" s="12">
        <v>209</v>
      </c>
    </row>
    <row r="211" spans="1:25" ht="12.75" customHeight="1" x14ac:dyDescent="0.2">
      <c r="A211" s="21"/>
      <c r="B211" s="38" t="s">
        <v>623</v>
      </c>
      <c r="C211" s="21" t="str">
        <f>HLOOKUP(Stats!$B$5,Info!$E$2:$DD$57,28,0)</f>
        <v>18</v>
      </c>
      <c r="D211" s="21" t="str">
        <f>IF(Stats!$B$6="","",HLOOKUP(Stats!$B$6,Info!$E$2:$DD$57,28,0))</f>
        <v>12</v>
      </c>
      <c r="E211" s="21"/>
      <c r="F211" s="21">
        <f>VLOOKUP(E211,Info!$HB$1:$HI$203,5)</f>
        <v>-30</v>
      </c>
      <c r="G211" s="21" t="s">
        <v>222</v>
      </c>
      <c r="H211" s="21">
        <f>Stats!$I$15</f>
        <v>1</v>
      </c>
      <c r="I211" s="21"/>
      <c r="J211" s="21"/>
      <c r="K211" s="76">
        <f t="shared" si="24"/>
        <v>-21.009999999999998</v>
      </c>
      <c r="M211" s="261"/>
      <c r="O211" s="12">
        <f t="shared" si="23"/>
        <v>0</v>
      </c>
      <c r="P211" s="245"/>
      <c r="Q211" s="254"/>
      <c r="Y211" s="12">
        <v>210</v>
      </c>
    </row>
    <row r="212" spans="1:25" ht="12.75" customHeight="1" x14ac:dyDescent="0.2">
      <c r="A212" s="21"/>
      <c r="B212" s="38" t="s">
        <v>624</v>
      </c>
      <c r="C212" s="21" t="str">
        <f>HLOOKUP(Stats!$B$5,Info!$E$2:$DD$57,28,0)</f>
        <v>18</v>
      </c>
      <c r="D212" s="21" t="str">
        <f>IF(Stats!$B$6="","",HLOOKUP(Stats!$B$6,Info!$E$2:$DD$57,28,0))</f>
        <v>12</v>
      </c>
      <c r="E212" s="21"/>
      <c r="F212" s="21">
        <f>VLOOKUP(E212,Info!$HB$1:$HI$203,5)</f>
        <v>-30</v>
      </c>
      <c r="G212" s="21" t="s">
        <v>428</v>
      </c>
      <c r="H212" s="21">
        <f>Stats!$I$20</f>
        <v>-6</v>
      </c>
      <c r="I212" s="21"/>
      <c r="J212" s="21"/>
      <c r="K212" s="76">
        <f t="shared" si="24"/>
        <v>-28.009999999999998</v>
      </c>
      <c r="M212" s="261"/>
      <c r="O212" s="12">
        <f t="shared" si="23"/>
        <v>0</v>
      </c>
      <c r="P212" s="245"/>
      <c r="Q212" s="254"/>
      <c r="Y212" s="12">
        <v>211</v>
      </c>
    </row>
    <row r="213" spans="1:25" ht="12.75" customHeight="1" x14ac:dyDescent="0.2">
      <c r="A213" s="21"/>
      <c r="B213" s="38" t="s">
        <v>624</v>
      </c>
      <c r="C213" s="21" t="str">
        <f>HLOOKUP(Stats!$B$5,Info!$E$2:$DD$57,28,0)</f>
        <v>18</v>
      </c>
      <c r="D213" s="21" t="str">
        <f>IF(Stats!$B$6="","",HLOOKUP(Stats!$B$6,Info!$E$2:$DD$57,28,0))</f>
        <v>12</v>
      </c>
      <c r="E213" s="21"/>
      <c r="F213" s="21">
        <f>VLOOKUP(E213,Info!$HB$1:$HI$203,5)</f>
        <v>-30</v>
      </c>
      <c r="G213" s="21" t="s">
        <v>428</v>
      </c>
      <c r="H213" s="21">
        <f>Stats!$I$20</f>
        <v>-6</v>
      </c>
      <c r="I213" s="21"/>
      <c r="J213" s="21"/>
      <c r="K213" s="76">
        <f t="shared" si="24"/>
        <v>-28.009999999999998</v>
      </c>
      <c r="M213" s="261"/>
      <c r="O213" s="12">
        <f t="shared" si="23"/>
        <v>0</v>
      </c>
      <c r="P213" s="245"/>
      <c r="Q213" s="254"/>
      <c r="Y213" s="12">
        <v>212</v>
      </c>
    </row>
    <row r="214" spans="1:25" ht="12.75" customHeight="1" x14ac:dyDescent="0.2">
      <c r="A214" s="21"/>
      <c r="B214" s="38" t="s">
        <v>624</v>
      </c>
      <c r="C214" s="21" t="str">
        <f>HLOOKUP(Stats!$B$5,Info!$E$2:$DD$57,28,0)</f>
        <v>18</v>
      </c>
      <c r="D214" s="21" t="str">
        <f>IF(Stats!$B$6="","",HLOOKUP(Stats!$B$6,Info!$E$2:$DD$57,28,0))</f>
        <v>12</v>
      </c>
      <c r="E214" s="21"/>
      <c r="F214" s="21">
        <f>VLOOKUP(E214,Info!$HB$1:$HI$203,5)</f>
        <v>-30</v>
      </c>
      <c r="G214" s="21" t="s">
        <v>428</v>
      </c>
      <c r="H214" s="21">
        <f>Stats!$I$20</f>
        <v>-6</v>
      </c>
      <c r="I214" s="21"/>
      <c r="J214" s="21"/>
      <c r="K214" s="76">
        <f t="shared" si="24"/>
        <v>-28.009999999999998</v>
      </c>
      <c r="M214" s="261"/>
      <c r="O214" s="12">
        <f t="shared" si="23"/>
        <v>0</v>
      </c>
      <c r="P214" s="245"/>
      <c r="Q214" s="254"/>
      <c r="Y214" s="12">
        <v>213</v>
      </c>
    </row>
    <row r="215" spans="1:25" ht="12.75" customHeight="1" x14ac:dyDescent="0.2">
      <c r="A215" s="21"/>
      <c r="B215" s="38" t="s">
        <v>624</v>
      </c>
      <c r="C215" s="21" t="str">
        <f>HLOOKUP(Stats!$B$5,Info!$E$2:$DD$57,28,0)</f>
        <v>18</v>
      </c>
      <c r="D215" s="21" t="str">
        <f>IF(Stats!$B$6="","",HLOOKUP(Stats!$B$6,Info!$E$2:$DD$57,28,0))</f>
        <v>12</v>
      </c>
      <c r="E215" s="21"/>
      <c r="F215" s="21">
        <f>VLOOKUP(E215,Info!$HB$1:$HI$203,5)</f>
        <v>-30</v>
      </c>
      <c r="G215" s="21" t="s">
        <v>428</v>
      </c>
      <c r="H215" s="21">
        <f>Stats!$I$20</f>
        <v>-6</v>
      </c>
      <c r="I215" s="21"/>
      <c r="J215" s="21"/>
      <c r="K215" s="76">
        <f t="shared" si="24"/>
        <v>-28.009999999999998</v>
      </c>
      <c r="M215" s="261"/>
      <c r="O215" s="12">
        <f t="shared" si="23"/>
        <v>0</v>
      </c>
      <c r="P215" s="245"/>
      <c r="Q215" s="254"/>
      <c r="Y215" s="12">
        <v>214</v>
      </c>
    </row>
    <row r="216" spans="1:25" ht="12.75" customHeight="1" x14ac:dyDescent="0.2">
      <c r="A216" s="168" t="s">
        <v>495</v>
      </c>
      <c r="B216" s="158" t="s">
        <v>625</v>
      </c>
      <c r="C216" s="21" t="str">
        <f>HLOOKUP(Stats!$B$5,Info!$E$2:$DD$57,28,0)</f>
        <v>18</v>
      </c>
      <c r="D216" s="21" t="str">
        <f>IF(Stats!$B$6="","",HLOOKUP(Stats!$B$6,Info!$E$2:$DD$57,28,0))</f>
        <v>12</v>
      </c>
      <c r="E216" s="21"/>
      <c r="F216" s="21">
        <f>VLOOKUP(E216,Info!$HB$1:$HI$203,5)</f>
        <v>-30</v>
      </c>
      <c r="G216" s="21" t="s">
        <v>428</v>
      </c>
      <c r="H216" s="21">
        <f>Stats!$I$20</f>
        <v>-6</v>
      </c>
      <c r="I216" s="21"/>
      <c r="J216" s="21"/>
      <c r="K216" s="76">
        <f t="shared" si="24"/>
        <v>-28.009999999999998</v>
      </c>
      <c r="M216" s="261"/>
      <c r="O216" s="12">
        <f t="shared" si="23"/>
        <v>0</v>
      </c>
      <c r="P216" s="245"/>
      <c r="Q216" s="254"/>
      <c r="Y216" s="12">
        <v>215</v>
      </c>
    </row>
    <row r="217" spans="1:25" ht="12.75" customHeight="1" x14ac:dyDescent="0.2">
      <c r="A217" s="116" t="s">
        <v>626</v>
      </c>
      <c r="B217" s="83"/>
      <c r="C217" s="100"/>
      <c r="D217" s="100"/>
      <c r="E217" s="153"/>
      <c r="F217" s="153"/>
      <c r="G217" s="153" t="str">
        <f>Stats!$C$39</f>
        <v>???</v>
      </c>
      <c r="H217" s="171" t="str">
        <f>VLOOKUP(Stats!$C$39,Info!$E$120:$F$127,2,0)</f>
        <v>Realm Stat Bonus</v>
      </c>
      <c r="I217" s="171">
        <f>IF(Stats!$M$4="",HLOOKUP(Stats!$B$5,Info!$F$59:$DD$114,Info!$DF$30,0),((HLOOKUP(Stats!$B$5,Info!$F$59:$DD$114,Info!$DF$30,0)+HLOOKUP(Stats!$B$6,Info!$F$59:$DD$114,Info!$DF$30,0))/2-0.01))</f>
        <v>-0.01</v>
      </c>
      <c r="J217" s="153"/>
      <c r="K217" s="171" t="e">
        <f>F217+H217+I217+J217</f>
        <v>#VALUE!</v>
      </c>
      <c r="M217" s="261"/>
      <c r="O217" s="12">
        <f t="shared" si="23"/>
        <v>0</v>
      </c>
      <c r="P217" s="245"/>
      <c r="Q217" s="254"/>
      <c r="Y217" s="12">
        <v>216</v>
      </c>
    </row>
    <row r="218" spans="1:25" ht="12.75" customHeight="1" x14ac:dyDescent="0.2">
      <c r="A218" s="56"/>
      <c r="B218" s="44" t="s">
        <v>284</v>
      </c>
      <c r="C218" s="21" t="str">
        <f>HLOOKUP(Stats!$B$5,Info!$E$2:$DD$57,29,0)</f>
        <v>15</v>
      </c>
      <c r="D218" s="21" t="str">
        <f>IF(Stats!$B$6="","",HLOOKUP(Stats!$B$6,Info!$E$2:$DD$57,29,0))</f>
        <v>12</v>
      </c>
      <c r="E218" s="21"/>
      <c r="F218" s="21" t="e">
        <f>VLOOKUP(E218,Info!$HB$1:$HI$203,7)</f>
        <v>#REF!</v>
      </c>
      <c r="G218" s="21"/>
      <c r="H218" s="21"/>
      <c r="I218" s="21"/>
      <c r="J218" s="21"/>
      <c r="K218" s="76" t="e">
        <f>F218+H218+I218+J218+$K$217</f>
        <v>#REF!</v>
      </c>
      <c r="M218" s="261"/>
      <c r="O218" s="12">
        <f t="shared" si="23"/>
        <v>0</v>
      </c>
      <c r="P218" s="245"/>
      <c r="Q218" s="254"/>
      <c r="Y218" s="12">
        <v>217</v>
      </c>
    </row>
    <row r="219" spans="1:25" ht="12.75" customHeight="1" x14ac:dyDescent="0.2">
      <c r="A219" s="116" t="s">
        <v>627</v>
      </c>
      <c r="B219" s="83"/>
      <c r="C219" s="100" t="str">
        <f>HLOOKUP(Stats!$B$5,Info!$E$2:$DD$57,30,0)</f>
        <v>3/6</v>
      </c>
      <c r="D219" s="100" t="str">
        <f>IF(Stats!$B$6="","",HLOOKUP(Stats!$B$6,Info!$E$2:$DD$57,30,0))</f>
        <v>3/6</v>
      </c>
      <c r="E219" s="153"/>
      <c r="F219" s="153">
        <f>VLOOKUP(E219,Info!$HB$1:$HI$203,2)</f>
        <v>-15</v>
      </c>
      <c r="G219" s="153" t="s">
        <v>518</v>
      </c>
      <c r="H219" s="153">
        <f>Stats!$I$17+Stats!$I$16</f>
        <v>8</v>
      </c>
      <c r="I219" s="171">
        <f>IF(Stats!$M$4="",HLOOKUP(Stats!$B$5,Info!$F$59:$DD$114,Info!$DF$31,0),((HLOOKUP(Stats!$B$5,Info!$F$59:$DD$114,Info!$DF$31,0)+HLOOKUP(Stats!$B$6,Info!$F$59:$DD$114,Info!$DF$31,0))/2-0.01))</f>
        <v>-0.01</v>
      </c>
      <c r="J219" s="153"/>
      <c r="K219" s="171">
        <f>F219+H219+I219+J219</f>
        <v>-7.01</v>
      </c>
      <c r="M219" s="261"/>
      <c r="O219" s="12">
        <f t="shared" si="23"/>
        <v>0</v>
      </c>
      <c r="P219" s="245"/>
      <c r="Q219" s="254">
        <f>HLOOKUP(Stats!$B$2,Info!$EN$3:$GZ$48,Info!$HA$26,0)</f>
        <v>2</v>
      </c>
      <c r="Y219" s="12">
        <v>218</v>
      </c>
    </row>
    <row r="220" spans="1:25" ht="12.75" customHeight="1" x14ac:dyDescent="0.2">
      <c r="A220" s="59"/>
      <c r="B220" s="138" t="s">
        <v>628</v>
      </c>
      <c r="C220" s="21" t="str">
        <f>HLOOKUP(Stats!$B$5,Info!$E$2:$DD$57,30,0)</f>
        <v>3/6</v>
      </c>
      <c r="D220" s="21" t="str">
        <f>IF(Stats!$B$6="","",HLOOKUP(Stats!$B$6,Info!$E$2:$DD$57,30,0))</f>
        <v>3/6</v>
      </c>
      <c r="E220" s="21"/>
      <c r="F220" s="21">
        <f>VLOOKUP(E220,Info!$HB$1:$HI$203,3)</f>
        <v>-15</v>
      </c>
      <c r="G220" s="21" t="s">
        <v>432</v>
      </c>
      <c r="H220" s="21">
        <f>Stats!$I$17</f>
        <v>4</v>
      </c>
      <c r="I220" s="21"/>
      <c r="J220" s="21"/>
      <c r="K220" s="76">
        <f>F220+H220+I220+J220+$K$219</f>
        <v>-18.009999999999998</v>
      </c>
      <c r="M220" s="261"/>
      <c r="O220" s="12">
        <f t="shared" si="23"/>
        <v>0</v>
      </c>
      <c r="P220" s="245"/>
      <c r="Q220" s="254"/>
      <c r="Y220" s="12">
        <v>219</v>
      </c>
    </row>
    <row r="221" spans="1:25" ht="12.75" customHeight="1" x14ac:dyDescent="0.2">
      <c r="A221" s="97"/>
      <c r="B221" s="155" t="s">
        <v>629</v>
      </c>
      <c r="C221" s="21" t="str">
        <f>HLOOKUP(Stats!$B$5,Info!$E$2:$DD$57,30,0)</f>
        <v>3/6</v>
      </c>
      <c r="D221" s="21" t="str">
        <f>IF(Stats!$B$6="","",HLOOKUP(Stats!$B$6,Info!$E$2:$DD$57,30,0))</f>
        <v>3/6</v>
      </c>
      <c r="E221" s="21"/>
      <c r="F221" s="21">
        <f>VLOOKUP(E221,Info!$HB$1:$HI$203,3)</f>
        <v>-15</v>
      </c>
      <c r="G221" s="21" t="s">
        <v>222</v>
      </c>
      <c r="H221" s="21">
        <f>Stats!$I$15</f>
        <v>1</v>
      </c>
      <c r="I221" s="21"/>
      <c r="J221" s="21"/>
      <c r="K221" s="76">
        <f>F221+H221+I221+J221+$K$219</f>
        <v>-21.009999999999998</v>
      </c>
      <c r="M221" s="261"/>
      <c r="O221" s="12">
        <f t="shared" si="23"/>
        <v>0</v>
      </c>
      <c r="P221" s="245"/>
      <c r="Q221" s="254"/>
      <c r="Y221" s="12">
        <v>220</v>
      </c>
    </row>
    <row r="222" spans="1:25" ht="12.75" customHeight="1" x14ac:dyDescent="0.2">
      <c r="A222" s="116" t="s">
        <v>630</v>
      </c>
      <c r="B222" s="83"/>
      <c r="C222" s="100"/>
      <c r="D222" s="100"/>
      <c r="E222" s="153"/>
      <c r="F222" s="153"/>
      <c r="G222" s="153" t="s">
        <v>518</v>
      </c>
      <c r="H222" s="153">
        <f>Stats!$I$17+Stats!$I$16</f>
        <v>8</v>
      </c>
      <c r="I222" s="171">
        <f>IF(Stats!$M$4="",HLOOKUP(Stats!$B$5,Info!$F$59:$DD$114,Info!$DF$32,0),((HLOOKUP(Stats!$B$5,Info!$F$59:$DD$114,Info!$DF$32,0)+HLOOKUP(Stats!$B$6,Info!$F$59:$DD$114,Info!$DF$32,0))/2-0.01))</f>
        <v>-0.01</v>
      </c>
      <c r="J222" s="153"/>
      <c r="K222" s="171">
        <f>F222+H222+I222+J222</f>
        <v>7.99</v>
      </c>
      <c r="M222" s="261"/>
      <c r="O222" s="12">
        <f t="shared" si="23"/>
        <v>0</v>
      </c>
      <c r="P222" s="245"/>
      <c r="Q222" s="254"/>
      <c r="Y222" s="12">
        <v>221</v>
      </c>
    </row>
    <row r="223" spans="1:25" ht="12.75" customHeight="1" x14ac:dyDescent="0.2">
      <c r="A223" s="59"/>
      <c r="B223" s="138" t="s">
        <v>631</v>
      </c>
      <c r="C223" s="21" t="str">
        <f>HLOOKUP(Stats!$B$5,Info!$E$2:$DD$57,31,0)</f>
        <v>12</v>
      </c>
      <c r="D223" s="21" t="str">
        <f>IF(Stats!$B$6="","",HLOOKUP(Stats!$B$6,Info!$E$2:$DD$57,31,0))</f>
        <v>12</v>
      </c>
      <c r="E223" s="21"/>
      <c r="F223" s="21">
        <f>VLOOKUP(E223,Info!$HB$1:$HI$203,5)</f>
        <v>-30</v>
      </c>
      <c r="G223" s="21" t="s">
        <v>432</v>
      </c>
      <c r="H223" s="21">
        <f>Stats!$I$17</f>
        <v>4</v>
      </c>
      <c r="I223" s="21"/>
      <c r="J223" s="21"/>
      <c r="K223" s="76">
        <f t="shared" ref="K223:K228" si="25">F223+H223+I223+J223+$K$222</f>
        <v>-18.009999999999998</v>
      </c>
      <c r="M223" s="261"/>
      <c r="O223" s="12">
        <f t="shared" si="23"/>
        <v>0</v>
      </c>
      <c r="P223" s="245"/>
      <c r="Q223" s="254"/>
      <c r="Y223" s="12">
        <v>222</v>
      </c>
    </row>
    <row r="224" spans="1:25" ht="12.75" customHeight="1" x14ac:dyDescent="0.2">
      <c r="A224" s="21"/>
      <c r="B224" s="38" t="s">
        <v>632</v>
      </c>
      <c r="C224" s="21" t="str">
        <f>HLOOKUP(Stats!$B$5,Info!$E$2:$DD$57,31,0)</f>
        <v>12</v>
      </c>
      <c r="D224" s="21" t="str">
        <f>IF(Stats!$B$6="","",HLOOKUP(Stats!$B$6,Info!$E$2:$DD$57,31,0))</f>
        <v>12</v>
      </c>
      <c r="E224" s="21"/>
      <c r="F224" s="21">
        <f>VLOOKUP(E224,Info!$HB$1:$HI$203,5)</f>
        <v>-30</v>
      </c>
      <c r="G224" s="21" t="s">
        <v>481</v>
      </c>
      <c r="H224" s="21">
        <f>Stats!$I$21</f>
        <v>4</v>
      </c>
      <c r="I224" s="21"/>
      <c r="J224" s="21"/>
      <c r="K224" s="76">
        <f t="shared" si="25"/>
        <v>-18.009999999999998</v>
      </c>
      <c r="M224" s="261"/>
      <c r="O224" s="12">
        <f t="shared" si="23"/>
        <v>0</v>
      </c>
      <c r="P224" s="245"/>
      <c r="Q224" s="254"/>
      <c r="Y224" s="12">
        <v>223</v>
      </c>
    </row>
    <row r="225" spans="1:25" ht="12.75" customHeight="1" x14ac:dyDescent="0.2">
      <c r="A225" s="21"/>
      <c r="B225" s="38" t="s">
        <v>633</v>
      </c>
      <c r="C225" s="21" t="str">
        <f>HLOOKUP(Stats!$B$5,Info!$E$2:$DD$57,31,0)</f>
        <v>12</v>
      </c>
      <c r="D225" s="21" t="str">
        <f>IF(Stats!$B$6="","",HLOOKUP(Stats!$B$6,Info!$E$2:$DD$57,31,0))</f>
        <v>12</v>
      </c>
      <c r="E225" s="21"/>
      <c r="F225" s="21">
        <f>VLOOKUP(E225,Info!$HB$1:$HI$203,5)</f>
        <v>-30</v>
      </c>
      <c r="G225" s="21" t="s">
        <v>464</v>
      </c>
      <c r="H225" s="21">
        <f>Stats!$I$22</f>
        <v>4</v>
      </c>
      <c r="I225" s="21"/>
      <c r="J225" s="21"/>
      <c r="K225" s="76">
        <f t="shared" si="25"/>
        <v>-18.009999999999998</v>
      </c>
      <c r="M225" s="261"/>
      <c r="O225" s="12">
        <f t="shared" si="23"/>
        <v>0</v>
      </c>
      <c r="P225" s="245"/>
      <c r="Q225" s="254"/>
      <c r="Y225" s="12">
        <v>224</v>
      </c>
    </row>
    <row r="226" spans="1:25" ht="12.75" customHeight="1" x14ac:dyDescent="0.2">
      <c r="A226" s="21"/>
      <c r="B226" s="38" t="s">
        <v>634</v>
      </c>
      <c r="C226" s="21" t="str">
        <f>HLOOKUP(Stats!$B$5,Info!$E$2:$DD$57,31,0)</f>
        <v>12</v>
      </c>
      <c r="D226" s="21" t="str">
        <f>IF(Stats!$B$6="","",HLOOKUP(Stats!$B$6,Info!$E$2:$DD$57,31,0))</f>
        <v>12</v>
      </c>
      <c r="E226" s="21"/>
      <c r="F226" s="21">
        <f>VLOOKUP(E226,Info!$HB$1:$HI$203,5)</f>
        <v>-30</v>
      </c>
      <c r="G226" s="21" t="s">
        <v>428</v>
      </c>
      <c r="H226" s="21">
        <f>Stats!$I$20</f>
        <v>-6</v>
      </c>
      <c r="I226" s="21"/>
      <c r="J226" s="21"/>
      <c r="K226" s="76">
        <f t="shared" si="25"/>
        <v>-28.009999999999998</v>
      </c>
      <c r="M226" s="261"/>
      <c r="O226" s="12">
        <f t="shared" si="23"/>
        <v>0</v>
      </c>
      <c r="P226" s="245"/>
      <c r="Q226" s="254"/>
      <c r="Y226" s="12">
        <v>225</v>
      </c>
    </row>
    <row r="227" spans="1:25" ht="12.75" customHeight="1" x14ac:dyDescent="0.2">
      <c r="A227" s="21"/>
      <c r="B227" s="38" t="s">
        <v>635</v>
      </c>
      <c r="C227" s="21" t="str">
        <f>HLOOKUP(Stats!$B$5,Info!$E$2:$DD$57,31,0)</f>
        <v>12</v>
      </c>
      <c r="D227" s="21" t="str">
        <f>IF(Stats!$B$6="","",HLOOKUP(Stats!$B$6,Info!$E$2:$DD$57,31,0))</f>
        <v>12</v>
      </c>
      <c r="E227" s="21"/>
      <c r="F227" s="21">
        <f>VLOOKUP(E227,Info!$HB$1:$HI$203,5)</f>
        <v>-30</v>
      </c>
      <c r="G227" s="21" t="s">
        <v>464</v>
      </c>
      <c r="H227" s="21">
        <f>Stats!$I$22</f>
        <v>4</v>
      </c>
      <c r="I227" s="21"/>
      <c r="J227" s="21"/>
      <c r="K227" s="76">
        <f t="shared" si="25"/>
        <v>-18.009999999999998</v>
      </c>
      <c r="M227" s="261"/>
      <c r="O227" s="12">
        <f t="shared" si="23"/>
        <v>0</v>
      </c>
      <c r="P227" s="245"/>
      <c r="Q227" s="254"/>
      <c r="Y227" s="12">
        <v>226</v>
      </c>
    </row>
    <row r="228" spans="1:25" ht="12.75" customHeight="1" x14ac:dyDescent="0.2">
      <c r="A228" s="97"/>
      <c r="B228" s="155" t="s">
        <v>636</v>
      </c>
      <c r="C228" s="21" t="str">
        <f>HLOOKUP(Stats!$B$5,Info!$E$2:$DD$57,31,0)</f>
        <v>12</v>
      </c>
      <c r="D228" s="21" t="str">
        <f>IF(Stats!$B$6="","",HLOOKUP(Stats!$B$6,Info!$E$2:$DD$57,31,0))</f>
        <v>12</v>
      </c>
      <c r="E228" s="21"/>
      <c r="F228" s="21">
        <f>VLOOKUP(E228,Info!$HB$1:$HI$203,5)</f>
        <v>-30</v>
      </c>
      <c r="G228" s="21" t="s">
        <v>428</v>
      </c>
      <c r="H228" s="21">
        <f>Stats!$I$20</f>
        <v>-6</v>
      </c>
      <c r="I228" s="21"/>
      <c r="J228" s="21"/>
      <c r="K228" s="76">
        <f t="shared" si="25"/>
        <v>-28.009999999999998</v>
      </c>
      <c r="M228" s="261"/>
      <c r="O228" s="12">
        <f t="shared" si="23"/>
        <v>0</v>
      </c>
      <c r="P228" s="245"/>
      <c r="Q228" s="254"/>
      <c r="Y228" s="12">
        <v>227</v>
      </c>
    </row>
    <row r="229" spans="1:25" ht="12.75" customHeight="1" x14ac:dyDescent="0.2">
      <c r="A229" s="116" t="s">
        <v>637</v>
      </c>
      <c r="B229" s="83"/>
      <c r="C229" s="100" t="str">
        <f>HLOOKUP(Stats!$B$5,Info!$E$2:$DD$57,32,0)</f>
        <v>2/6</v>
      </c>
      <c r="D229" s="100" t="str">
        <f>IF(Stats!$B$6="","",HLOOKUP(Stats!$B$6,Info!$E$2:$DD$57,32,0))</f>
        <v>2/6</v>
      </c>
      <c r="E229" s="153"/>
      <c r="F229" s="153">
        <f>VLOOKUP(E229,Info!$HB$1:$HI$203,2)</f>
        <v>-15</v>
      </c>
      <c r="G229" s="153" t="s">
        <v>638</v>
      </c>
      <c r="H229" s="153">
        <f>Stats!I15+Stats!I20</f>
        <v>-5</v>
      </c>
      <c r="I229" s="171">
        <f>IF(Stats!$M$4="",HLOOKUP(Stats!$B$5,Info!$F$59:$DD$114,Info!$DF$33,0),((HLOOKUP(Stats!$B$5,Info!$F$59:$DD$114,Info!$DF$33,0)+HLOOKUP(Stats!$B$6,Info!$F$59:$DD$114,Info!$DF$33,0))/2-0.01))</f>
        <v>2.4900000000000002</v>
      </c>
      <c r="J229" s="153"/>
      <c r="K229" s="171">
        <f>F229+H229+I229+J229</f>
        <v>-17.509999999999998</v>
      </c>
      <c r="M229" s="261"/>
      <c r="O229" s="12">
        <f t="shared" si="23"/>
        <v>0</v>
      </c>
      <c r="P229" s="245"/>
      <c r="Q229" s="254"/>
      <c r="Y229" s="12">
        <v>228</v>
      </c>
    </row>
    <row r="230" spans="1:25" ht="12.75" customHeight="1" x14ac:dyDescent="0.2">
      <c r="A230" s="21"/>
      <c r="B230" s="38" t="s">
        <v>639</v>
      </c>
      <c r="C230" s="131" t="str">
        <f>HLOOKUP(Stats!$B$5,Info!$E$2:$DD$57,32,0)</f>
        <v>2/6</v>
      </c>
      <c r="D230" s="131" t="str">
        <f>IF(Stats!$B$6="","",HLOOKUP(Stats!$B$6,Info!$E$2:$DD$57,32,0))</f>
        <v>2/6</v>
      </c>
      <c r="E230" s="21"/>
      <c r="F230" s="21">
        <f>VLOOKUP(E230,Info!$HB$1:$HI$203,3)</f>
        <v>-15</v>
      </c>
      <c r="G230" s="21" t="s">
        <v>428</v>
      </c>
      <c r="H230" s="21">
        <f>Stats!$I$20</f>
        <v>-6</v>
      </c>
      <c r="I230" s="21"/>
      <c r="J230" s="21"/>
      <c r="K230" s="76">
        <f t="shared" ref="K230:K244" si="26">F230+H230+I230+J230+$K$229</f>
        <v>-38.51</v>
      </c>
      <c r="M230" s="261"/>
      <c r="O230" s="12">
        <f t="shared" si="23"/>
        <v>0</v>
      </c>
      <c r="P230" s="245"/>
      <c r="Q230" s="254"/>
      <c r="Y230" s="12">
        <v>229</v>
      </c>
    </row>
    <row r="231" spans="1:25" ht="12.75" customHeight="1" x14ac:dyDescent="0.2">
      <c r="A231" s="59"/>
      <c r="B231" s="138" t="s">
        <v>640</v>
      </c>
      <c r="C231" s="21" t="str">
        <f>HLOOKUP(Stats!$B$5,Info!$E$2:$DD$57,32,0)</f>
        <v>2/6</v>
      </c>
      <c r="D231" s="21" t="str">
        <f>IF(Stats!$B$6="","",HLOOKUP(Stats!$B$6,Info!$E$2:$DD$57,32,0))</f>
        <v>2/6</v>
      </c>
      <c r="E231" s="21"/>
      <c r="F231" s="21">
        <f>VLOOKUP(E231,Info!$HB$1:$HI$203,3)</f>
        <v>-15</v>
      </c>
      <c r="G231" s="21" t="s">
        <v>408</v>
      </c>
      <c r="H231" s="21">
        <f>Stats!$I$14</f>
        <v>13</v>
      </c>
      <c r="I231" s="21"/>
      <c r="J231" s="21"/>
      <c r="K231" s="76">
        <f t="shared" si="26"/>
        <v>-19.509999999999998</v>
      </c>
      <c r="M231" s="261"/>
      <c r="O231" s="12">
        <f t="shared" si="23"/>
        <v>0</v>
      </c>
      <c r="P231" s="245"/>
      <c r="Q231" s="254"/>
      <c r="Y231" s="12">
        <v>230</v>
      </c>
    </row>
    <row r="232" spans="1:25" ht="12.75" customHeight="1" x14ac:dyDescent="0.2">
      <c r="A232" s="21"/>
      <c r="B232" s="38" t="s">
        <v>641</v>
      </c>
      <c r="C232" s="21" t="str">
        <f>HLOOKUP(Stats!$B$5,Info!$E$2:$DD$57,32,0)</f>
        <v>2/6</v>
      </c>
      <c r="D232" s="21" t="str">
        <f>IF(Stats!$B$6="","",HLOOKUP(Stats!$B$6,Info!$E$2:$DD$57,32,0))</f>
        <v>2/6</v>
      </c>
      <c r="E232" s="21"/>
      <c r="F232" s="21">
        <f>VLOOKUP(E232,Info!$HB$1:$HI$203,3)</f>
        <v>-15</v>
      </c>
      <c r="G232" s="21" t="s">
        <v>403</v>
      </c>
      <c r="H232" s="21">
        <f>Stats!$I$18</f>
        <v>-5</v>
      </c>
      <c r="I232" s="21"/>
      <c r="J232" s="21"/>
      <c r="K232" s="76">
        <f t="shared" si="26"/>
        <v>-37.51</v>
      </c>
      <c r="M232" s="261"/>
      <c r="O232" s="12">
        <f t="shared" si="23"/>
        <v>0</v>
      </c>
      <c r="P232" s="245"/>
      <c r="Q232" s="254"/>
      <c r="Y232" s="12">
        <v>231</v>
      </c>
    </row>
    <row r="233" spans="1:25" ht="12.75" customHeight="1" x14ac:dyDescent="0.2">
      <c r="A233" s="21"/>
      <c r="B233" s="38" t="s">
        <v>642</v>
      </c>
      <c r="C233" s="21" t="str">
        <f>HLOOKUP(Stats!$B$5,Info!$E$2:$DD$57,32,0)</f>
        <v>2/6</v>
      </c>
      <c r="D233" s="21" t="str">
        <f>IF(Stats!$B$6="","",HLOOKUP(Stats!$B$6,Info!$E$2:$DD$57,32,0))</f>
        <v>2/6</v>
      </c>
      <c r="E233" s="21"/>
      <c r="F233" s="21">
        <f>VLOOKUP(E233,Info!$HB$1:$HI$203,3)</f>
        <v>-15</v>
      </c>
      <c r="G233" s="21" t="s">
        <v>408</v>
      </c>
      <c r="H233" s="21">
        <f>Stats!$I$14</f>
        <v>13</v>
      </c>
      <c r="I233" s="21"/>
      <c r="J233" s="21"/>
      <c r="K233" s="76">
        <f t="shared" si="26"/>
        <v>-19.509999999999998</v>
      </c>
      <c r="M233" s="261"/>
      <c r="O233" s="12">
        <f t="shared" si="23"/>
        <v>0</v>
      </c>
      <c r="P233" s="245"/>
      <c r="Q233" s="254"/>
      <c r="Y233" s="12">
        <v>232</v>
      </c>
    </row>
    <row r="234" spans="1:25" ht="12.75" customHeight="1" x14ac:dyDescent="0.2">
      <c r="A234" s="164" t="s">
        <v>495</v>
      </c>
      <c r="B234" s="165" t="s">
        <v>643</v>
      </c>
      <c r="C234" s="21" t="str">
        <f>HLOOKUP(Stats!$B$5,Info!$E$2:$DD$57,32,0)</f>
        <v>2/6</v>
      </c>
      <c r="D234" s="21" t="str">
        <f>IF(Stats!$B$6="","",HLOOKUP(Stats!$B$6,Info!$E$2:$DD$57,32,0))</f>
        <v>2/6</v>
      </c>
      <c r="E234" s="21"/>
      <c r="F234" s="21">
        <f>VLOOKUP(E234,Info!$HB$1:$HI$203,3)</f>
        <v>-15</v>
      </c>
      <c r="G234" s="21" t="s">
        <v>222</v>
      </c>
      <c r="H234" s="21">
        <f>Stats!$I$15</f>
        <v>1</v>
      </c>
      <c r="I234" s="21"/>
      <c r="J234" s="21"/>
      <c r="K234" s="76">
        <f t="shared" si="26"/>
        <v>-31.509999999999998</v>
      </c>
      <c r="M234" s="261"/>
      <c r="O234" s="12">
        <f t="shared" si="23"/>
        <v>0</v>
      </c>
      <c r="P234" s="245"/>
      <c r="Q234" s="254"/>
      <c r="Y234" s="12">
        <v>233</v>
      </c>
    </row>
    <row r="235" spans="1:25" ht="12.75" customHeight="1" x14ac:dyDescent="0.2">
      <c r="A235" s="21"/>
      <c r="B235" s="38" t="s">
        <v>644</v>
      </c>
      <c r="C235" s="21" t="str">
        <f>HLOOKUP(Stats!$B$5,Info!$E$2:$DD$57,32,0)</f>
        <v>2/6</v>
      </c>
      <c r="D235" s="21" t="str">
        <f>IF(Stats!$B$6="","",HLOOKUP(Stats!$B$6,Info!$E$2:$DD$57,32,0))</f>
        <v>2/6</v>
      </c>
      <c r="E235" s="21"/>
      <c r="F235" s="21">
        <f>VLOOKUP(E235,Info!$HB$1:$HI$203,3)</f>
        <v>-15</v>
      </c>
      <c r="G235" s="21" t="s">
        <v>403</v>
      </c>
      <c r="H235" s="21">
        <f>Stats!$I$18</f>
        <v>-5</v>
      </c>
      <c r="I235" s="21"/>
      <c r="J235" s="21"/>
      <c r="K235" s="76">
        <f t="shared" si="26"/>
        <v>-37.51</v>
      </c>
      <c r="M235" s="261"/>
      <c r="O235" s="12">
        <f t="shared" si="23"/>
        <v>0</v>
      </c>
      <c r="P235" s="245"/>
      <c r="Q235" s="254"/>
      <c r="Y235" s="12">
        <v>234</v>
      </c>
    </row>
    <row r="236" spans="1:25" ht="12.75" customHeight="1" x14ac:dyDescent="0.2">
      <c r="A236" s="164" t="s">
        <v>495</v>
      </c>
      <c r="B236" s="165" t="s">
        <v>645</v>
      </c>
      <c r="C236" s="21" t="str">
        <f>HLOOKUP(Stats!$B$5,Info!$E$2:$DD$57,32,0)</f>
        <v>2/6</v>
      </c>
      <c r="D236" s="21" t="str">
        <f>IF(Stats!$B$6="","",HLOOKUP(Stats!$B$6,Info!$E$2:$DD$57,32,0))</f>
        <v>2/6</v>
      </c>
      <c r="E236" s="21"/>
      <c r="F236" s="21">
        <f>VLOOKUP(E236,Info!$HB$1:$HI$203,3)</f>
        <v>-15</v>
      </c>
      <c r="G236" s="21" t="s">
        <v>222</v>
      </c>
      <c r="H236" s="21">
        <f>Stats!$I$15</f>
        <v>1</v>
      </c>
      <c r="I236" s="21"/>
      <c r="J236" s="21"/>
      <c r="K236" s="76">
        <f t="shared" si="26"/>
        <v>-31.509999999999998</v>
      </c>
      <c r="M236" s="261"/>
      <c r="O236" s="12">
        <f t="shared" si="23"/>
        <v>0</v>
      </c>
      <c r="P236" s="245"/>
      <c r="Q236" s="254"/>
      <c r="Y236" s="12">
        <v>235</v>
      </c>
    </row>
    <row r="237" spans="1:25" ht="12.75" customHeight="1" x14ac:dyDescent="0.2">
      <c r="A237" s="164" t="s">
        <v>495</v>
      </c>
      <c r="B237" s="165" t="s">
        <v>646</v>
      </c>
      <c r="C237" s="21" t="str">
        <f>HLOOKUP(Stats!$B$5,Info!$E$2:$DD$57,32,0)</f>
        <v>2/6</v>
      </c>
      <c r="D237" s="21" t="str">
        <f>IF(Stats!$B$6="","",HLOOKUP(Stats!$B$6,Info!$E$2:$DD$57,32,0))</f>
        <v>2/6</v>
      </c>
      <c r="E237" s="21"/>
      <c r="F237" s="21">
        <f>VLOOKUP(E237,Info!$HB$1:$HI$203,3)</f>
        <v>-15</v>
      </c>
      <c r="G237" s="21" t="s">
        <v>222</v>
      </c>
      <c r="H237" s="21">
        <f>Stats!$I$15</f>
        <v>1</v>
      </c>
      <c r="I237" s="21"/>
      <c r="J237" s="21"/>
      <c r="K237" s="76">
        <f t="shared" si="26"/>
        <v>-31.509999999999998</v>
      </c>
      <c r="M237" s="261"/>
      <c r="O237" s="12">
        <f t="shared" si="23"/>
        <v>0</v>
      </c>
      <c r="P237" s="245"/>
      <c r="Q237" s="254"/>
      <c r="Y237" s="12">
        <v>236</v>
      </c>
    </row>
    <row r="238" spans="1:25" ht="12.75" customHeight="1" x14ac:dyDescent="0.2">
      <c r="A238" s="164" t="s">
        <v>495</v>
      </c>
      <c r="B238" s="165" t="s">
        <v>647</v>
      </c>
      <c r="C238" s="21" t="str">
        <f>HLOOKUP(Stats!$B$5,Info!$E$2:$DD$57,32,0)</f>
        <v>2/6</v>
      </c>
      <c r="D238" s="21" t="str">
        <f>IF(Stats!$B$6="","",HLOOKUP(Stats!$B$6,Info!$E$2:$DD$57,32,0))</f>
        <v>2/6</v>
      </c>
      <c r="E238" s="21"/>
      <c r="F238" s="21">
        <f>VLOOKUP(E238,Info!$HB$1:$HI$203,3)</f>
        <v>-15</v>
      </c>
      <c r="G238" s="21" t="s">
        <v>222</v>
      </c>
      <c r="H238" s="21">
        <f>Stats!$I$15</f>
        <v>1</v>
      </c>
      <c r="I238" s="21"/>
      <c r="J238" s="21"/>
      <c r="K238" s="76">
        <f t="shared" si="26"/>
        <v>-31.509999999999998</v>
      </c>
      <c r="M238" s="261"/>
      <c r="O238" s="12">
        <f t="shared" ref="O238:O269" si="27">E238+M238</f>
        <v>0</v>
      </c>
      <c r="P238" s="245"/>
      <c r="Q238" s="254"/>
      <c r="Y238" s="12">
        <v>237</v>
      </c>
    </row>
    <row r="239" spans="1:25" ht="12.75" customHeight="1" x14ac:dyDescent="0.2">
      <c r="A239" s="21"/>
      <c r="B239" s="38" t="s">
        <v>648</v>
      </c>
      <c r="C239" s="21" t="str">
        <f>HLOOKUP(Stats!$B$5,Info!$E$2:$DD$57,32,0)</f>
        <v>2/6</v>
      </c>
      <c r="D239" s="21" t="str">
        <f>IF(Stats!$B$6="","",HLOOKUP(Stats!$B$6,Info!$E$2:$DD$57,32,0))</f>
        <v>2/6</v>
      </c>
      <c r="E239" s="21"/>
      <c r="F239" s="21">
        <f>VLOOKUP(E239,Info!$HB$1:$HI$203,3)</f>
        <v>-15</v>
      </c>
      <c r="G239" s="21" t="s">
        <v>222</v>
      </c>
      <c r="H239" s="21">
        <f>Stats!$I$15</f>
        <v>1</v>
      </c>
      <c r="I239" s="21"/>
      <c r="J239" s="21"/>
      <c r="K239" s="76">
        <f t="shared" si="26"/>
        <v>-31.509999999999998</v>
      </c>
      <c r="M239" s="261"/>
      <c r="O239" s="12">
        <f t="shared" si="27"/>
        <v>0</v>
      </c>
      <c r="P239" s="245"/>
      <c r="Q239" s="254"/>
      <c r="Y239" s="12">
        <v>238</v>
      </c>
    </row>
    <row r="240" spans="1:25" ht="12.75" customHeight="1" x14ac:dyDescent="0.2">
      <c r="A240" s="21"/>
      <c r="B240" s="38" t="s">
        <v>649</v>
      </c>
      <c r="C240" s="21" t="str">
        <f>HLOOKUP(Stats!$B$5,Info!$E$2:$DD$57,32,0)</f>
        <v>2/6</v>
      </c>
      <c r="D240" s="21" t="str">
        <f>IF(Stats!$B$6="","",HLOOKUP(Stats!$B$6,Info!$E$2:$DD$57,32,0))</f>
        <v>2/6</v>
      </c>
      <c r="E240" s="21"/>
      <c r="F240" s="21">
        <f>VLOOKUP(E240,Info!$HB$1:$HI$203,3)</f>
        <v>-15</v>
      </c>
      <c r="G240" s="21" t="s">
        <v>481</v>
      </c>
      <c r="H240" s="21">
        <f>Stats!$I$21</f>
        <v>4</v>
      </c>
      <c r="I240" s="21"/>
      <c r="J240" s="21"/>
      <c r="K240" s="76">
        <f t="shared" si="26"/>
        <v>-28.509999999999998</v>
      </c>
      <c r="M240" s="261"/>
      <c r="O240" s="12">
        <f t="shared" si="27"/>
        <v>0</v>
      </c>
      <c r="P240" s="245"/>
      <c r="Q240" s="254"/>
      <c r="Y240" s="12">
        <v>239</v>
      </c>
    </row>
    <row r="241" spans="1:25" ht="12.75" customHeight="1" x14ac:dyDescent="0.2">
      <c r="A241" s="21"/>
      <c r="B241" s="38" t="s">
        <v>650</v>
      </c>
      <c r="C241" s="21" t="str">
        <f>HLOOKUP(Stats!$B$5,Info!$E$2:$DD$57,32,0)</f>
        <v>2/6</v>
      </c>
      <c r="D241" s="21" t="str">
        <f>IF(Stats!$B$6="","",HLOOKUP(Stats!$B$6,Info!$E$2:$DD$57,32,0))</f>
        <v>2/6</v>
      </c>
      <c r="E241" s="21"/>
      <c r="F241" s="21">
        <f>VLOOKUP(E241,Info!$HB$1:$HI$203,3)</f>
        <v>-15</v>
      </c>
      <c r="G241" s="21" t="s">
        <v>222</v>
      </c>
      <c r="H241" s="21">
        <f>Stats!$I$15</f>
        <v>1</v>
      </c>
      <c r="I241" s="21"/>
      <c r="J241" s="21"/>
      <c r="K241" s="76">
        <f t="shared" si="26"/>
        <v>-31.509999999999998</v>
      </c>
      <c r="M241" s="261"/>
      <c r="O241" s="12">
        <f t="shared" si="27"/>
        <v>0</v>
      </c>
      <c r="P241" s="245"/>
      <c r="Q241" s="254"/>
      <c r="Y241" s="12">
        <v>240</v>
      </c>
    </row>
    <row r="242" spans="1:25" ht="12.75" customHeight="1" x14ac:dyDescent="0.2">
      <c r="A242" s="21"/>
      <c r="B242" s="38" t="s">
        <v>651</v>
      </c>
      <c r="C242" s="21" t="str">
        <f>HLOOKUP(Stats!$B$5,Info!$E$2:$DD$57,32,0)</f>
        <v>2/6</v>
      </c>
      <c r="D242" s="21" t="str">
        <f>IF(Stats!$B$6="","",HLOOKUP(Stats!$B$6,Info!$E$2:$DD$57,32,0))</f>
        <v>2/6</v>
      </c>
      <c r="E242" s="21"/>
      <c r="F242" s="21">
        <f>VLOOKUP(E242,Info!$HB$1:$HI$203,3)</f>
        <v>-15</v>
      </c>
      <c r="G242" s="21" t="s">
        <v>418</v>
      </c>
      <c r="H242" s="21">
        <f>Stats!I16</f>
        <v>4</v>
      </c>
      <c r="I242" s="21"/>
      <c r="J242" s="21"/>
      <c r="K242" s="76">
        <f t="shared" si="26"/>
        <v>-28.509999999999998</v>
      </c>
      <c r="M242" s="261"/>
      <c r="O242" s="12">
        <f t="shared" si="27"/>
        <v>0</v>
      </c>
      <c r="P242" s="245"/>
      <c r="Q242" s="254"/>
      <c r="Y242" s="12">
        <v>241</v>
      </c>
    </row>
    <row r="243" spans="1:25" ht="12.75" customHeight="1" x14ac:dyDescent="0.2">
      <c r="A243" s="21"/>
      <c r="B243" s="38" t="s">
        <v>652</v>
      </c>
      <c r="C243" s="21" t="str">
        <f>HLOOKUP(Stats!$B$5,Info!$E$2:$DD$57,32,0)</f>
        <v>2/6</v>
      </c>
      <c r="D243" s="21" t="str">
        <f>IF(Stats!$B$6="","",HLOOKUP(Stats!$B$6,Info!$E$2:$DD$57,32,0))</f>
        <v>2/6</v>
      </c>
      <c r="E243" s="21"/>
      <c r="F243" s="21">
        <f>VLOOKUP(E243,Info!$HB$1:$HI$203,3)</f>
        <v>-15</v>
      </c>
      <c r="G243" s="21" t="s">
        <v>222</v>
      </c>
      <c r="H243" s="21">
        <f>Stats!$I$15</f>
        <v>1</v>
      </c>
      <c r="I243" s="21"/>
      <c r="J243" s="21"/>
      <c r="K243" s="76">
        <f t="shared" si="26"/>
        <v>-31.509999999999998</v>
      </c>
      <c r="M243" s="261"/>
      <c r="O243" s="12">
        <f t="shared" si="27"/>
        <v>0</v>
      </c>
      <c r="P243" s="245"/>
      <c r="Q243" s="254"/>
      <c r="Y243" s="12">
        <v>242</v>
      </c>
    </row>
    <row r="244" spans="1:25" ht="12.75" customHeight="1" x14ac:dyDescent="0.2">
      <c r="A244" s="97"/>
      <c r="B244" s="155" t="s">
        <v>653</v>
      </c>
      <c r="C244" s="21" t="str">
        <f>HLOOKUP(Stats!$B$5,Info!$E$2:$DD$57,32,0)</f>
        <v>2/6</v>
      </c>
      <c r="D244" s="21" t="str">
        <f>IF(Stats!$B$6="","",HLOOKUP(Stats!$B$6,Info!$E$2:$DD$57,32,0))</f>
        <v>2/6</v>
      </c>
      <c r="E244" s="21"/>
      <c r="F244" s="21">
        <f>VLOOKUP(E244,Info!$HB$1:$HI$203,3)</f>
        <v>-15</v>
      </c>
      <c r="G244" s="21" t="s">
        <v>222</v>
      </c>
      <c r="H244" s="21">
        <f>Stats!$I$15</f>
        <v>1</v>
      </c>
      <c r="I244" s="21"/>
      <c r="J244" s="21"/>
      <c r="K244" s="76">
        <f t="shared" si="26"/>
        <v>-31.509999999999998</v>
      </c>
      <c r="M244" s="261"/>
      <c r="O244" s="12">
        <f t="shared" si="27"/>
        <v>0</v>
      </c>
      <c r="P244" s="245"/>
      <c r="Q244" s="254"/>
      <c r="Y244" s="12">
        <v>243</v>
      </c>
    </row>
    <row r="245" spans="1:25" ht="12.75" customHeight="1" x14ac:dyDescent="0.2">
      <c r="A245" s="116" t="s">
        <v>654</v>
      </c>
      <c r="B245" s="83"/>
      <c r="C245" s="100"/>
      <c r="D245" s="100"/>
      <c r="E245" s="153"/>
      <c r="F245" s="153"/>
      <c r="G245" s="153" t="s">
        <v>400</v>
      </c>
      <c r="H245" s="153">
        <f>Stats!I18+Stats!I14</f>
        <v>8</v>
      </c>
      <c r="I245" s="171">
        <f>IF(Stats!$M$4="",HLOOKUP(Stats!$B$5,Info!$F$59:$DD$114,Info!$DF$34,0),((HLOOKUP(Stats!$B$5,Info!$F$59:$DD$114,Info!$DF$34,0)+HLOOKUP(Stats!$B$6,Info!$F$59:$DD$114,Info!$DF$34,0))/2-0.01))</f>
        <v>-0.01</v>
      </c>
      <c r="J245" s="153"/>
      <c r="K245" s="171">
        <f>F245+H245+I245+J245</f>
        <v>7.99</v>
      </c>
      <c r="M245" s="261"/>
      <c r="O245" s="12">
        <f t="shared" si="27"/>
        <v>0</v>
      </c>
      <c r="P245" s="245"/>
      <c r="Q245" s="254"/>
      <c r="Y245" s="12">
        <v>244</v>
      </c>
    </row>
    <row r="246" spans="1:25" ht="12.75" customHeight="1" x14ac:dyDescent="0.2">
      <c r="A246" s="59"/>
      <c r="B246" s="138" t="s">
        <v>655</v>
      </c>
      <c r="C246" s="21" t="str">
        <f>HLOOKUP(Stats!$B$5,Info!$E$2:$DD$57,33,0)</f>
        <v>2/8</v>
      </c>
      <c r="D246" s="21" t="str">
        <f>IF(Stats!$B$6="","",HLOOKUP(Stats!$B$6,Info!$E$2:$DD$57,33,0))</f>
        <v>2/7</v>
      </c>
      <c r="E246" s="21"/>
      <c r="F246" s="21">
        <f>VLOOKUP(E246,Info!$HB$1:$HI$203,5)</f>
        <v>-30</v>
      </c>
      <c r="G246" s="21" t="s">
        <v>408</v>
      </c>
      <c r="H246" s="21">
        <f>Stats!$I$14</f>
        <v>13</v>
      </c>
      <c r="I246" s="21"/>
      <c r="J246" s="21"/>
      <c r="K246" s="76">
        <f>F246+H246+I246+J246+$K$245</f>
        <v>-9.01</v>
      </c>
      <c r="M246" s="261"/>
      <c r="O246" s="12">
        <f t="shared" si="27"/>
        <v>0</v>
      </c>
      <c r="P246" s="245"/>
      <c r="Q246" s="254"/>
      <c r="Y246" s="12">
        <v>245</v>
      </c>
    </row>
    <row r="247" spans="1:25" ht="12.75" customHeight="1" x14ac:dyDescent="0.2">
      <c r="A247" s="21"/>
      <c r="B247" s="38" t="s">
        <v>655</v>
      </c>
      <c r="C247" s="21" t="str">
        <f>HLOOKUP(Stats!$B$5,Info!$E$2:$DD$57,33,0)</f>
        <v>2/8</v>
      </c>
      <c r="D247" s="21" t="str">
        <f>IF(Stats!$B$6="","",HLOOKUP(Stats!$B$6,Info!$E$2:$DD$57,33,0))</f>
        <v>2/7</v>
      </c>
      <c r="E247" s="21"/>
      <c r="F247" s="21">
        <f>VLOOKUP(E247,Info!$HB$1:$HI$203,5)</f>
        <v>-30</v>
      </c>
      <c r="G247" s="21" t="s">
        <v>408</v>
      </c>
      <c r="H247" s="21">
        <f>Stats!$I$14</f>
        <v>13</v>
      </c>
      <c r="I247" s="21"/>
      <c r="J247" s="21"/>
      <c r="K247" s="76">
        <f>F247+H247+I247+J247+$K$245</f>
        <v>-9.01</v>
      </c>
      <c r="M247" s="261"/>
      <c r="O247" s="12">
        <f t="shared" si="27"/>
        <v>0</v>
      </c>
      <c r="P247" s="245"/>
      <c r="Q247" s="254"/>
      <c r="Y247" s="12">
        <v>246</v>
      </c>
    </row>
    <row r="248" spans="1:25" ht="12.75" customHeight="1" x14ac:dyDescent="0.2">
      <c r="A248" s="21"/>
      <c r="B248" s="38" t="s">
        <v>655</v>
      </c>
      <c r="C248" s="21" t="str">
        <f>HLOOKUP(Stats!$B$5,Info!$E$2:$DD$57,33,0)</f>
        <v>2/8</v>
      </c>
      <c r="D248" s="21" t="str">
        <f>IF(Stats!$B$6="","",HLOOKUP(Stats!$B$6,Info!$E$2:$DD$57,33,0))</f>
        <v>2/7</v>
      </c>
      <c r="E248" s="21"/>
      <c r="F248" s="21">
        <f>VLOOKUP(E248,Info!$HB$1:$HI$203,5)</f>
        <v>-30</v>
      </c>
      <c r="G248" s="21" t="s">
        <v>408</v>
      </c>
      <c r="H248" s="21">
        <f>Stats!$I$14</f>
        <v>13</v>
      </c>
      <c r="I248" s="21"/>
      <c r="J248" s="21"/>
      <c r="K248" s="76">
        <f>F248+H248+I248+J248+$K$245</f>
        <v>-9.01</v>
      </c>
      <c r="M248" s="261"/>
      <c r="O248" s="12">
        <f t="shared" si="27"/>
        <v>0</v>
      </c>
      <c r="P248" s="245"/>
      <c r="Q248" s="254"/>
      <c r="Y248" s="12">
        <v>247</v>
      </c>
    </row>
    <row r="249" spans="1:25" ht="12.75" customHeight="1" x14ac:dyDescent="0.2">
      <c r="A249" s="97"/>
      <c r="B249" s="155" t="s">
        <v>656</v>
      </c>
      <c r="C249" s="21" t="str">
        <f>HLOOKUP(Stats!$B$5,Info!$E$2:$DD$57,33,0)</f>
        <v>2/8</v>
      </c>
      <c r="D249" s="21" t="str">
        <f>IF(Stats!$B$6="","",HLOOKUP(Stats!$B$6,Info!$E$2:$DD$57,33,0))</f>
        <v>2/7</v>
      </c>
      <c r="E249" s="21"/>
      <c r="F249" s="21">
        <f>VLOOKUP(E249,Info!$HB$1:$HI$203,5)</f>
        <v>-30</v>
      </c>
      <c r="G249" s="21" t="s">
        <v>222</v>
      </c>
      <c r="H249" s="21">
        <f>Stats!$I$15</f>
        <v>1</v>
      </c>
      <c r="I249" s="21"/>
      <c r="J249" s="21"/>
      <c r="K249" s="76">
        <f>F249+H249+I249+J249+$K$245</f>
        <v>-21.009999999999998</v>
      </c>
      <c r="M249" s="261"/>
      <c r="O249" s="12">
        <f t="shared" si="27"/>
        <v>0</v>
      </c>
      <c r="P249" s="245"/>
      <c r="Q249" s="254"/>
      <c r="Y249" s="12">
        <v>248</v>
      </c>
    </row>
    <row r="250" spans="1:25" ht="12.75" customHeight="1" x14ac:dyDescent="0.2">
      <c r="A250" s="116" t="s">
        <v>657</v>
      </c>
      <c r="B250" s="83"/>
      <c r="C250" s="100"/>
      <c r="D250" s="100"/>
      <c r="E250" s="153"/>
      <c r="F250" s="153"/>
      <c r="G250" s="153" t="s">
        <v>248</v>
      </c>
      <c r="H250" s="153"/>
      <c r="I250" s="171">
        <f>IF(Stats!$M$4="",HLOOKUP(Stats!$B$5,Info!$F$59:$DD$114,Info!$DF$35,0),((HLOOKUP(Stats!$B$5,Info!$F$59:$DD$114,Info!$DF$35,0)+HLOOKUP(Stats!$B$6,Info!$F$59:$DD$114,Info!$DF$35,0))/2-0.01))</f>
        <v>-0.01</v>
      </c>
      <c r="J250" s="153"/>
      <c r="K250" s="171">
        <f>F250+H250+I250+J250</f>
        <v>-0.01</v>
      </c>
      <c r="M250" s="261"/>
      <c r="O250" s="12">
        <f t="shared" si="27"/>
        <v>0</v>
      </c>
      <c r="P250" s="245"/>
      <c r="Q250" s="254"/>
      <c r="Y250" s="12">
        <v>249</v>
      </c>
    </row>
    <row r="251" spans="1:25" ht="12.75" customHeight="1" x14ac:dyDescent="0.2">
      <c r="A251" s="59"/>
      <c r="B251" s="138" t="s">
        <v>658</v>
      </c>
      <c r="C251" s="21" t="str">
        <f>HLOOKUP(Stats!$B$5,Info!$E$2:$DD$57,34,0)</f>
        <v>35</v>
      </c>
      <c r="D251" s="21" t="str">
        <f>IF(Stats!$B$6="","",HLOOKUP(Stats!$B$6,Info!$E$2:$DD$57,34,0))</f>
        <v>35</v>
      </c>
      <c r="E251" s="21"/>
      <c r="F251" s="21">
        <f>VLOOKUP(E251,Info!$HB$1:$HI$203,5)</f>
        <v>-30</v>
      </c>
      <c r="G251" s="21"/>
      <c r="H251" s="21"/>
      <c r="I251" s="21"/>
      <c r="J251" s="21"/>
      <c r="K251" s="76">
        <f>F251+H251+I251+J251+$K$250</f>
        <v>-30.01</v>
      </c>
      <c r="M251" s="261"/>
      <c r="O251" s="12">
        <f t="shared" si="27"/>
        <v>0</v>
      </c>
      <c r="P251" s="245"/>
      <c r="Q251" s="254"/>
      <c r="Y251" s="12">
        <v>250</v>
      </c>
    </row>
    <row r="252" spans="1:25" ht="12.75" customHeight="1" x14ac:dyDescent="0.2">
      <c r="A252" s="97"/>
      <c r="B252" s="155" t="s">
        <v>659</v>
      </c>
      <c r="C252" s="21" t="str">
        <f>HLOOKUP(Stats!$B$5,Info!$E$2:$DD$57,34,0)</f>
        <v>35</v>
      </c>
      <c r="D252" s="21" t="str">
        <f>IF(Stats!$B$6="","",HLOOKUP(Stats!$B$6,Info!$E$2:$DD$57,34,0))</f>
        <v>35</v>
      </c>
      <c r="E252" s="21"/>
      <c r="F252" s="21">
        <f>VLOOKUP(E252,Info!$HB$1:$HI$203,5)</f>
        <v>-30</v>
      </c>
      <c r="G252" s="21"/>
      <c r="H252" s="21"/>
      <c r="I252" s="21"/>
      <c r="J252" s="21"/>
      <c r="K252" s="76">
        <f>F252+H252+I252+J252+$K$250</f>
        <v>-30.01</v>
      </c>
      <c r="M252" s="261"/>
      <c r="O252" s="12">
        <f t="shared" si="27"/>
        <v>0</v>
      </c>
      <c r="P252" s="245"/>
      <c r="Q252" s="254"/>
      <c r="Y252" s="12">
        <v>251</v>
      </c>
    </row>
    <row r="253" spans="1:25" ht="12.75" customHeight="1" x14ac:dyDescent="0.2">
      <c r="A253" s="116" t="s">
        <v>660</v>
      </c>
      <c r="B253" s="83"/>
      <c r="C253" s="100" t="str">
        <f>HLOOKUP(Stats!$B$5,Info!$E$2:$DD$57,43,0)</f>
        <v>2/6</v>
      </c>
      <c r="D253" s="100" t="str">
        <f>IF(Stats!$B$6="","",HLOOKUP(Stats!$B$6,Info!$E$2:$DD$57,5,0))</f>
        <v>2/4</v>
      </c>
      <c r="E253" s="153"/>
      <c r="F253" s="153">
        <f>VLOOKUP(E253,Info!$HB$1:$HI$203,2)</f>
        <v>-15</v>
      </c>
      <c r="G253" s="153" t="s">
        <v>544</v>
      </c>
      <c r="H253" s="153">
        <f>Stats!I14+Stats!I15</f>
        <v>14</v>
      </c>
      <c r="I253" s="171">
        <f>IF(Stats!$M$4="",HLOOKUP(Stats!$B$5,Info!$F$59:$DD$114,Info!$DF$44,0),((HLOOKUP(Stats!$B$5,Info!$F$59:$DD$114,Info!$DF$44,0)+HLOOKUP(Stats!$B$6,Info!$F$59:$DD$114,Info!$DF$44,0))/2-0.01))</f>
        <v>12.49</v>
      </c>
      <c r="J253" s="153"/>
      <c r="K253" s="171">
        <f>F253+H253+I253+J253</f>
        <v>11.49</v>
      </c>
      <c r="M253" s="261"/>
      <c r="O253" s="12">
        <f t="shared" si="27"/>
        <v>0</v>
      </c>
      <c r="P253" s="245"/>
      <c r="Q253" s="254"/>
      <c r="Y253" s="12">
        <v>252</v>
      </c>
    </row>
    <row r="254" spans="1:25" ht="12.75" customHeight="1" x14ac:dyDescent="0.2">
      <c r="A254" s="59"/>
      <c r="B254" s="138" t="s">
        <v>661</v>
      </c>
      <c r="C254" s="21" t="str">
        <f>HLOOKUP(Stats!$B$5,Info!$E$2:$DD$57,43,0)</f>
        <v>2/6</v>
      </c>
      <c r="D254" s="21" t="str">
        <f>IF(Stats!$B$6="","",HLOOKUP(Stats!$B$6,Info!$E$2:$DD$57,43,0))</f>
        <v>4/8</v>
      </c>
      <c r="E254" s="21"/>
      <c r="F254" s="21">
        <f>VLOOKUP(E254,Info!$HB$1:$HI$203,3)</f>
        <v>-15</v>
      </c>
      <c r="G254" s="21" t="s">
        <v>464</v>
      </c>
      <c r="H254" s="21">
        <f>Stats!$I$22</f>
        <v>4</v>
      </c>
      <c r="I254" s="21"/>
      <c r="J254" s="21"/>
      <c r="K254" s="76">
        <f>F254+H254+I254+J254+$K$253</f>
        <v>0.49000000000000021</v>
      </c>
      <c r="M254" s="261"/>
      <c r="O254" s="12">
        <f t="shared" si="27"/>
        <v>0</v>
      </c>
      <c r="P254" s="245"/>
      <c r="Q254" s="254"/>
      <c r="Y254" s="12">
        <v>253</v>
      </c>
    </row>
    <row r="255" spans="1:25" ht="12.75" customHeight="1" x14ac:dyDescent="0.2">
      <c r="A255" s="97"/>
      <c r="B255" s="155" t="s">
        <v>662</v>
      </c>
      <c r="C255" s="21" t="str">
        <f>HLOOKUP(Stats!$B$5,Info!$E$2:$DD$57,43,0)</f>
        <v>2/6</v>
      </c>
      <c r="D255" s="21" t="str">
        <f>IF(Stats!$B$6="","",HLOOKUP(Stats!$B$6,Info!$E$2:$DD$57,43,0))</f>
        <v>4/8</v>
      </c>
      <c r="E255" s="21"/>
      <c r="F255" s="21">
        <f>VLOOKUP(E255,Info!$HB$1:$HI$203,3)</f>
        <v>-15</v>
      </c>
      <c r="G255" s="21" t="s">
        <v>464</v>
      </c>
      <c r="H255" s="21">
        <f>Stats!$I$22</f>
        <v>4</v>
      </c>
      <c r="I255" s="21"/>
      <c r="J255" s="21"/>
      <c r="K255" s="76">
        <f>F255+H255+I255+J255+$K$253</f>
        <v>0.49000000000000021</v>
      </c>
      <c r="M255" s="261"/>
      <c r="O255" s="12">
        <f t="shared" si="27"/>
        <v>0</v>
      </c>
      <c r="P255" s="245"/>
      <c r="Q255" s="254"/>
      <c r="Y255" s="12">
        <v>254</v>
      </c>
    </row>
    <row r="256" spans="1:25" ht="12.75" customHeight="1" x14ac:dyDescent="0.2">
      <c r="A256" s="116" t="s">
        <v>663</v>
      </c>
      <c r="B256" s="83"/>
      <c r="C256" s="100" t="str">
        <f>HLOOKUP(Stats!$B$5,Info!$E$2:$DD$57,44,0)</f>
        <v>1/3</v>
      </c>
      <c r="D256" s="100" t="str">
        <f>IF(Stats!$B$6="","",HLOOKUP(Stats!$B$6,Info!$E$2:$DD$57,44,0))</f>
        <v>2/5</v>
      </c>
      <c r="E256" s="153"/>
      <c r="F256" s="153">
        <f>VLOOKUP(E256,Info!$HB$1:$HI$203,2)</f>
        <v>-15</v>
      </c>
      <c r="G256" s="153" t="s">
        <v>664</v>
      </c>
      <c r="H256" s="153">
        <f>Stats!I22+Stats!I14</f>
        <v>17</v>
      </c>
      <c r="I256" s="171">
        <f>IF(Stats!$M$4="",HLOOKUP(Stats!$B$5,Info!$F$59:$DD$114,Info!$DF$45,0),((HLOOKUP(Stats!$B$5,Info!$F$59:$DD$114,Info!$DF$45,0)+HLOOKUP(Stats!$B$6,Info!$F$59:$DD$114,Info!$DF$45,0))/2-0.01))</f>
        <v>12.49</v>
      </c>
      <c r="J256" s="153"/>
      <c r="K256" s="171">
        <f>F256+H256+I256+J256</f>
        <v>14.49</v>
      </c>
      <c r="M256" s="261"/>
      <c r="O256" s="12">
        <f t="shared" si="27"/>
        <v>0</v>
      </c>
      <c r="P256" s="245"/>
      <c r="Q256" s="254"/>
      <c r="Y256" s="12">
        <v>255</v>
      </c>
    </row>
    <row r="257" spans="1:25" ht="12.75" customHeight="1" x14ac:dyDescent="0.2">
      <c r="A257" s="59"/>
      <c r="B257" s="138" t="s">
        <v>665</v>
      </c>
      <c r="C257" s="21" t="str">
        <f>HLOOKUP(Stats!$B$5,Info!$E$2:$DD$57,44,0)</f>
        <v>1/3</v>
      </c>
      <c r="D257" s="21" t="str">
        <f>IF(Stats!$B$6="","",HLOOKUP(Stats!$B$6,Info!$E$2:$DD$57,44,0))</f>
        <v>2/5</v>
      </c>
      <c r="E257" s="21"/>
      <c r="F257" s="21">
        <f>VLOOKUP(E257,Info!$HB$1:$HI$203,3)</f>
        <v>-15</v>
      </c>
      <c r="G257" s="21" t="s">
        <v>481</v>
      </c>
      <c r="H257" s="21">
        <f>Stats!$I$21</f>
        <v>4</v>
      </c>
      <c r="I257" s="21"/>
      <c r="J257" s="21"/>
      <c r="K257" s="76">
        <f t="shared" ref="K257:K265" si="28">F257+H257+I257+J257+$K$256</f>
        <v>3.49</v>
      </c>
      <c r="M257" s="261"/>
      <c r="O257" s="12">
        <f t="shared" si="27"/>
        <v>0</v>
      </c>
      <c r="P257" s="245"/>
      <c r="Q257" s="254"/>
      <c r="Y257" s="12">
        <v>256</v>
      </c>
    </row>
    <row r="258" spans="1:25" ht="12.75" customHeight="1" x14ac:dyDescent="0.2">
      <c r="A258" s="21"/>
      <c r="B258" s="38" t="s">
        <v>666</v>
      </c>
      <c r="C258" s="21" t="str">
        <f>HLOOKUP(Stats!$B$5,Info!$E$2:$DD$57,44,0)</f>
        <v>1/3</v>
      </c>
      <c r="D258" s="21" t="str">
        <f>IF(Stats!$B$6="","",HLOOKUP(Stats!$B$6,Info!$E$2:$DD$57,44,0))</f>
        <v>2/5</v>
      </c>
      <c r="E258" s="21"/>
      <c r="F258" s="21">
        <f>VLOOKUP(E258,Info!$HB$1:$HI$203,3)</f>
        <v>-15</v>
      </c>
      <c r="G258" s="21" t="s">
        <v>222</v>
      </c>
      <c r="H258" s="21">
        <f>Stats!$I$15</f>
        <v>1</v>
      </c>
      <c r="I258" s="21"/>
      <c r="J258" s="21"/>
      <c r="K258" s="76">
        <f t="shared" si="28"/>
        <v>0.49000000000000021</v>
      </c>
      <c r="M258" s="261"/>
      <c r="O258" s="12">
        <f t="shared" si="27"/>
        <v>0</v>
      </c>
      <c r="P258" s="245"/>
      <c r="Q258" s="254"/>
      <c r="Y258" s="12">
        <v>257</v>
      </c>
    </row>
    <row r="259" spans="1:25" ht="12.75" customHeight="1" x14ac:dyDescent="0.2">
      <c r="A259" s="21"/>
      <c r="B259" s="38" t="s">
        <v>667</v>
      </c>
      <c r="C259" s="21" t="str">
        <f>HLOOKUP(Stats!$B$5,Info!$E$2:$DD$57,44,0)</f>
        <v>1/3</v>
      </c>
      <c r="D259" s="21" t="str">
        <f>IF(Stats!$B$6="","",HLOOKUP(Stats!$B$6,Info!$E$2:$DD$57,44,0))</f>
        <v>2/5</v>
      </c>
      <c r="E259" s="21"/>
      <c r="F259" s="21">
        <f>VLOOKUP(E259,Info!$HB$1:$HI$203,3)</f>
        <v>-15</v>
      </c>
      <c r="G259" s="21" t="s">
        <v>428</v>
      </c>
      <c r="H259" s="21">
        <f>Stats!$I$20</f>
        <v>-6</v>
      </c>
      <c r="I259" s="21"/>
      <c r="J259" s="21"/>
      <c r="K259" s="76">
        <f t="shared" si="28"/>
        <v>-6.51</v>
      </c>
      <c r="M259" s="261"/>
      <c r="O259" s="12">
        <f t="shared" si="27"/>
        <v>0</v>
      </c>
      <c r="P259" s="245"/>
      <c r="Q259" s="254"/>
      <c r="Y259" s="12">
        <v>258</v>
      </c>
    </row>
    <row r="260" spans="1:25" ht="12.75" customHeight="1" x14ac:dyDescent="0.2">
      <c r="A260" s="21"/>
      <c r="B260" s="38" t="s">
        <v>668</v>
      </c>
      <c r="C260" s="21" t="str">
        <f>HLOOKUP(Stats!$B$5,Info!$E$2:$DD$57,44,0)</f>
        <v>1/3</v>
      </c>
      <c r="D260" s="21" t="str">
        <f>IF(Stats!$B$6="","",HLOOKUP(Stats!$B$6,Info!$E$2:$DD$57,44,0))</f>
        <v>2/5</v>
      </c>
      <c r="E260" s="21"/>
      <c r="F260" s="21">
        <f>VLOOKUP(E260,Info!$HB$1:$HI$203,3)</f>
        <v>-15</v>
      </c>
      <c r="G260" s="21" t="s">
        <v>432</v>
      </c>
      <c r="H260" s="21">
        <f>Stats!$I$17</f>
        <v>4</v>
      </c>
      <c r="I260" s="21"/>
      <c r="J260" s="21"/>
      <c r="K260" s="76">
        <f t="shared" si="28"/>
        <v>3.49</v>
      </c>
      <c r="M260" s="261"/>
      <c r="O260" s="12">
        <f t="shared" si="27"/>
        <v>0</v>
      </c>
      <c r="P260" s="245"/>
      <c r="Q260" s="254"/>
      <c r="Y260" s="12">
        <v>259</v>
      </c>
    </row>
    <row r="261" spans="1:25" ht="12.75" customHeight="1" x14ac:dyDescent="0.2">
      <c r="A261" s="21"/>
      <c r="B261" s="38" t="s">
        <v>669</v>
      </c>
      <c r="C261" s="21" t="str">
        <f>HLOOKUP(Stats!$B$5,Info!$E$2:$DD$57,44,0)</f>
        <v>1/3</v>
      </c>
      <c r="D261" s="21" t="str">
        <f>IF(Stats!$B$6="","",HLOOKUP(Stats!$B$6,Info!$E$2:$DD$57,44,0))</f>
        <v>2/5</v>
      </c>
      <c r="E261" s="21"/>
      <c r="F261" s="21">
        <f>VLOOKUP(E261,Info!$HB$1:$HI$203,3)</f>
        <v>-15</v>
      </c>
      <c r="G261" s="21" t="s">
        <v>432</v>
      </c>
      <c r="H261" s="21">
        <f>Stats!$I$17</f>
        <v>4</v>
      </c>
      <c r="I261" s="21"/>
      <c r="J261" s="21"/>
      <c r="K261" s="76">
        <f t="shared" si="28"/>
        <v>3.49</v>
      </c>
      <c r="M261" s="261"/>
      <c r="O261" s="12">
        <f t="shared" si="27"/>
        <v>0</v>
      </c>
      <c r="P261" s="245"/>
      <c r="Q261" s="254"/>
      <c r="Y261" s="12">
        <v>260</v>
      </c>
    </row>
    <row r="262" spans="1:25" ht="12.75" customHeight="1" x14ac:dyDescent="0.2">
      <c r="A262" s="21"/>
      <c r="B262" s="38" t="s">
        <v>670</v>
      </c>
      <c r="C262" s="21" t="str">
        <f>HLOOKUP(Stats!$B$5,Info!$E$2:$DD$57,44,0)</f>
        <v>1/3</v>
      </c>
      <c r="D262" s="21" t="str">
        <f>IF(Stats!$B$6="","",HLOOKUP(Stats!$B$6,Info!$E$2:$DD$57,44,0))</f>
        <v>2/5</v>
      </c>
      <c r="E262" s="21"/>
      <c r="F262" s="21">
        <f>VLOOKUP(E262,Info!$HB$1:$HI$203,3)</f>
        <v>-15</v>
      </c>
      <c r="G262" s="21" t="s">
        <v>432</v>
      </c>
      <c r="H262" s="21">
        <f>Stats!$I$17</f>
        <v>4</v>
      </c>
      <c r="I262" s="21"/>
      <c r="J262" s="21"/>
      <c r="K262" s="76">
        <f t="shared" si="28"/>
        <v>3.49</v>
      </c>
      <c r="M262" s="261"/>
      <c r="O262" s="12">
        <f t="shared" si="27"/>
        <v>0</v>
      </c>
      <c r="P262" s="245"/>
      <c r="Q262" s="254"/>
      <c r="Y262" s="12">
        <v>261</v>
      </c>
    </row>
    <row r="263" spans="1:25" ht="12.75" customHeight="1" x14ac:dyDescent="0.2">
      <c r="A263" s="21"/>
      <c r="B263" s="38" t="s">
        <v>671</v>
      </c>
      <c r="C263" s="21" t="str">
        <f>HLOOKUP(Stats!$B$5,Info!$E$2:$DD$57,44,0)</f>
        <v>1/3</v>
      </c>
      <c r="D263" s="21" t="str">
        <f>IF(Stats!$B$6="","",HLOOKUP(Stats!$B$6,Info!$E$2:$DD$57,44,0))</f>
        <v>2/5</v>
      </c>
      <c r="E263" s="21"/>
      <c r="F263" s="21">
        <f>VLOOKUP(E263,Info!$HB$1:$HI$203,3)</f>
        <v>-15</v>
      </c>
      <c r="G263" s="21" t="s">
        <v>432</v>
      </c>
      <c r="H263" s="21">
        <f>Stats!$I$17</f>
        <v>4</v>
      </c>
      <c r="I263" s="21"/>
      <c r="J263" s="21"/>
      <c r="K263" s="76">
        <f t="shared" si="28"/>
        <v>3.49</v>
      </c>
      <c r="M263" s="261"/>
      <c r="O263" s="12">
        <f t="shared" si="27"/>
        <v>0</v>
      </c>
      <c r="P263" s="245"/>
      <c r="Q263" s="254"/>
      <c r="Y263" s="12">
        <v>262</v>
      </c>
    </row>
    <row r="264" spans="1:25" ht="12.75" customHeight="1" x14ac:dyDescent="0.2">
      <c r="A264" s="21"/>
      <c r="B264" s="38" t="s">
        <v>672</v>
      </c>
      <c r="C264" s="21" t="str">
        <f>HLOOKUP(Stats!$B$5,Info!$E$2:$DD$57,44,0)</f>
        <v>1/3</v>
      </c>
      <c r="D264" s="21" t="str">
        <f>IF(Stats!$B$6="","",HLOOKUP(Stats!$B$6,Info!$E$2:$DD$57,44,0))</f>
        <v>2/5</v>
      </c>
      <c r="E264" s="21"/>
      <c r="F264" s="21">
        <f>VLOOKUP(E264,Info!$HB$1:$HI$203,3)</f>
        <v>-15</v>
      </c>
      <c r="G264" s="21" t="s">
        <v>222</v>
      </c>
      <c r="H264" s="21">
        <f>Stats!$I$15</f>
        <v>1</v>
      </c>
      <c r="I264" s="21"/>
      <c r="J264" s="21"/>
      <c r="K264" s="76">
        <f t="shared" si="28"/>
        <v>0.49000000000000021</v>
      </c>
      <c r="M264" s="261"/>
      <c r="O264" s="12">
        <f t="shared" si="27"/>
        <v>0</v>
      </c>
      <c r="P264" s="245"/>
      <c r="Q264" s="254"/>
      <c r="Y264" s="12">
        <v>263</v>
      </c>
    </row>
    <row r="265" spans="1:25" ht="12.75" customHeight="1" x14ac:dyDescent="0.2">
      <c r="A265" s="97"/>
      <c r="B265" s="155" t="s">
        <v>673</v>
      </c>
      <c r="C265" s="21" t="str">
        <f>HLOOKUP(Stats!$B$5,Info!$E$2:$DD$57,44,0)</f>
        <v>1/3</v>
      </c>
      <c r="D265" s="21" t="str">
        <f>IF(Stats!$B$6="","",HLOOKUP(Stats!$B$6,Info!$E$2:$DD$57,44,0))</f>
        <v>2/5</v>
      </c>
      <c r="E265" s="21"/>
      <c r="F265" s="21">
        <f>VLOOKUP(E265,Info!$HB$1:$HI$203,3)</f>
        <v>-15</v>
      </c>
      <c r="G265" s="21" t="s">
        <v>222</v>
      </c>
      <c r="H265" s="21">
        <f>Stats!$I$15</f>
        <v>1</v>
      </c>
      <c r="I265" s="21"/>
      <c r="J265" s="21"/>
      <c r="K265" s="76">
        <f t="shared" si="28"/>
        <v>0.49000000000000021</v>
      </c>
      <c r="M265" s="261"/>
      <c r="O265" s="12">
        <f t="shared" si="27"/>
        <v>0</v>
      </c>
      <c r="P265" s="245"/>
      <c r="Q265" s="254"/>
      <c r="Y265" s="12">
        <v>264</v>
      </c>
    </row>
    <row r="266" spans="1:25" ht="12.75" customHeight="1" x14ac:dyDescent="0.2">
      <c r="A266" s="116" t="s">
        <v>674</v>
      </c>
      <c r="B266" s="83"/>
      <c r="C266" s="100" t="str">
        <f>HLOOKUP(Stats!$B$5,Info!$E$2:$DD$57,45,0)</f>
        <v>1/3</v>
      </c>
      <c r="D266" s="100" t="str">
        <f>IF(Stats!$B$6="","",HLOOKUP(Stats!$B$6,Info!$E$2:$DD$57,45,0))</f>
        <v>1/3</v>
      </c>
      <c r="E266" s="153"/>
      <c r="F266" s="153">
        <f>VLOOKUP(E266,Info!$HB$1:$HI$203,2)</f>
        <v>-15</v>
      </c>
      <c r="G266" s="153" t="s">
        <v>544</v>
      </c>
      <c r="H266" s="153">
        <f>Stats!I14+Stats!I15</f>
        <v>14</v>
      </c>
      <c r="I266" s="171">
        <f>IF(Stats!$M$4="",HLOOKUP(Stats!$B$5,Info!$F$59:$DD$114,Info!$DF$46,0),((HLOOKUP(Stats!$B$5,Info!$F$59:$DD$114,Info!$DF$46,0)+HLOOKUP(Stats!$B$6,Info!$F$59:$DD$114,Info!$DF$46,0))/2-0.01))</f>
        <v>12.49</v>
      </c>
      <c r="J266" s="153"/>
      <c r="K266" s="171">
        <f>F266+H266+I266+J266</f>
        <v>11.49</v>
      </c>
      <c r="M266" s="261"/>
      <c r="O266" s="12">
        <f t="shared" si="27"/>
        <v>0</v>
      </c>
      <c r="P266" s="245"/>
      <c r="Q266" s="254">
        <f>HLOOKUP(Stats!$B$2,Info!$EN$3:$GZ$48,Info!$HA$28,0)</f>
        <v>2</v>
      </c>
      <c r="Y266" s="12">
        <v>265</v>
      </c>
    </row>
    <row r="267" spans="1:25" ht="12.75" customHeight="1" x14ac:dyDescent="0.2">
      <c r="A267" s="59"/>
      <c r="B267" s="138" t="s">
        <v>675</v>
      </c>
      <c r="C267" s="21" t="str">
        <f>HLOOKUP(Stats!$B$5,Info!$E$2:$DD$57,45,0)</f>
        <v>1/3</v>
      </c>
      <c r="D267" s="21" t="str">
        <f>IF(Stats!$B$6="","",HLOOKUP(Stats!$B$6,Info!$E$2:$DD$57,45,0))</f>
        <v>1/3</v>
      </c>
      <c r="E267" s="21"/>
      <c r="F267" s="21">
        <f>VLOOKUP(E267,Info!$HB$1:$HI$203,3)</f>
        <v>-15</v>
      </c>
      <c r="G267" s="21" t="s">
        <v>464</v>
      </c>
      <c r="H267" s="21">
        <f>Stats!$I$22</f>
        <v>4</v>
      </c>
      <c r="I267" s="21"/>
      <c r="J267" s="21"/>
      <c r="K267" s="76">
        <f>F267+H267+I267+J267+$K$266</f>
        <v>0.49000000000000021</v>
      </c>
      <c r="M267" s="261"/>
      <c r="O267" s="12">
        <f t="shared" si="27"/>
        <v>0</v>
      </c>
      <c r="P267" s="245"/>
      <c r="Q267" s="254">
        <f>HLOOKUP(Stats!$B$2,Info!$EN$3:$GZ$48,Info!$HA$29,0)</f>
        <v>2</v>
      </c>
      <c r="Y267" s="12">
        <v>266</v>
      </c>
    </row>
    <row r="268" spans="1:25" ht="12.75" customHeight="1" x14ac:dyDescent="0.2">
      <c r="A268" s="21"/>
      <c r="B268" s="38" t="s">
        <v>676</v>
      </c>
      <c r="C268" s="21" t="str">
        <f>HLOOKUP(Stats!$B$5,Info!$E$2:$DD$57,45,0)</f>
        <v>1/3</v>
      </c>
      <c r="D268" s="21" t="str">
        <f>IF(Stats!$B$6="","",HLOOKUP(Stats!$B$6,Info!$E$2:$DD$57,45,0))</f>
        <v>1/3</v>
      </c>
      <c r="E268" s="21"/>
      <c r="F268" s="21">
        <f>VLOOKUP(E268,Info!$HB$1:$HI$203,3)</f>
        <v>-15</v>
      </c>
      <c r="G268" s="21" t="s">
        <v>428</v>
      </c>
      <c r="H268" s="21">
        <f>Stats!$I$20</f>
        <v>-6</v>
      </c>
      <c r="I268" s="21"/>
      <c r="J268" s="21"/>
      <c r="K268" s="76">
        <f>F268+H268+I268+J268+$K$266</f>
        <v>-9.51</v>
      </c>
      <c r="M268" s="261"/>
      <c r="O268" s="12">
        <f t="shared" si="27"/>
        <v>0</v>
      </c>
      <c r="P268" s="245"/>
      <c r="Q268" s="254"/>
      <c r="Y268" s="12">
        <v>267</v>
      </c>
    </row>
    <row r="269" spans="1:25" ht="12.75" customHeight="1" x14ac:dyDescent="0.2">
      <c r="A269" s="97"/>
      <c r="B269" s="155" t="s">
        <v>677</v>
      </c>
      <c r="C269" s="21" t="str">
        <f>HLOOKUP(Stats!$B$5,Info!$E$2:$DD$57,45,0)</f>
        <v>1/3</v>
      </c>
      <c r="D269" s="21" t="str">
        <f>IF(Stats!$B$6="","",HLOOKUP(Stats!$B$6,Info!$E$2:$DD$57,45,0))</f>
        <v>1/3</v>
      </c>
      <c r="E269" s="21"/>
      <c r="F269" s="21">
        <f>VLOOKUP(E269,Info!$HB$1:$HI$203,3)</f>
        <v>-15</v>
      </c>
      <c r="G269" s="21" t="s">
        <v>222</v>
      </c>
      <c r="H269" s="21">
        <f>Stats!$I$15</f>
        <v>1</v>
      </c>
      <c r="I269" s="21"/>
      <c r="J269" s="21"/>
      <c r="K269" s="76">
        <f>F269+H269+I269+J269+$K$266</f>
        <v>-2.5099999999999998</v>
      </c>
      <c r="M269" s="261"/>
      <c r="O269" s="12">
        <f t="shared" si="27"/>
        <v>0</v>
      </c>
      <c r="P269" s="245"/>
      <c r="Q269" s="254">
        <f>HLOOKUP(Stats!$B$2,Info!$EN$3:$GZ$48,Info!$HA$30,0)</f>
        <v>2</v>
      </c>
      <c r="Y269" s="12">
        <v>268</v>
      </c>
    </row>
    <row r="270" spans="1:25" ht="12.75" customHeight="1" x14ac:dyDescent="0.2">
      <c r="A270" s="274"/>
      <c r="B270" s="240" t="s">
        <v>678</v>
      </c>
      <c r="C270" s="131" t="str">
        <f>HLOOKUP(Stats!$B$5,Info!$E$2:$DD$57,45,0)</f>
        <v>1/3</v>
      </c>
      <c r="D270" s="21" t="str">
        <f>IF(Stats!$B$6="","",HLOOKUP(Stats!$B$6,Info!$E$2:$DD$57,45,0))</f>
        <v>1/3</v>
      </c>
      <c r="E270" s="21"/>
      <c r="F270" s="21">
        <f>VLOOKUP(E270,Info!$HB$1:$HI$203,3)</f>
        <v>-15</v>
      </c>
      <c r="G270" s="21" t="s">
        <v>428</v>
      </c>
      <c r="H270" s="21">
        <f>Stats!$I$20</f>
        <v>-6</v>
      </c>
      <c r="I270" s="21"/>
      <c r="J270" s="21"/>
      <c r="K270" s="76">
        <f>F270+H270+I270+J270+$K$266</f>
        <v>-9.51</v>
      </c>
      <c r="M270" s="261"/>
      <c r="O270" s="12">
        <f t="shared" ref="O270:O279" si="29">E270+M270</f>
        <v>0</v>
      </c>
      <c r="P270" s="245"/>
      <c r="Q270" s="254"/>
      <c r="Y270" s="12">
        <v>269</v>
      </c>
    </row>
    <row r="271" spans="1:25" ht="12.75" customHeight="1" x14ac:dyDescent="0.2">
      <c r="A271" s="162" t="s">
        <v>679</v>
      </c>
      <c r="B271" s="273"/>
      <c r="C271" s="100" t="str">
        <f>HLOOKUP(Stats!$B$5,Info!$E$2:$DD$57,46,0)</f>
        <v>3/7</v>
      </c>
      <c r="D271" s="100" t="str">
        <f>IF(Stats!$B$6="","",HLOOKUP(Stats!$B$6,Info!$E$2:$DD$57,46,0))</f>
        <v>3/7</v>
      </c>
      <c r="E271" s="153"/>
      <c r="F271" s="153">
        <f>VLOOKUP(E271,Info!$HB$1:$HI$203,2)</f>
        <v>-15</v>
      </c>
      <c r="G271" s="153" t="s">
        <v>518</v>
      </c>
      <c r="H271" s="153">
        <f>Stats!$I$17+Stats!$I$16</f>
        <v>8</v>
      </c>
      <c r="I271" s="171">
        <f>IF(Stats!$M$4="",HLOOKUP(Stats!$B$5,Info!$F$59:$DD$114,Info!$DF$47,0),((HLOOKUP(Stats!$B$5,Info!$F$59:$DD$114,Info!$DF$47,0)+HLOOKUP(Stats!$B$6,Info!$F$59:$DD$114,Info!$DF$47,0))/2-0.01))</f>
        <v>-0.01</v>
      </c>
      <c r="J271" s="153"/>
      <c r="K271" s="171">
        <f>F271+H271+I271+J271</f>
        <v>-7.01</v>
      </c>
      <c r="M271" s="261"/>
      <c r="O271" s="12">
        <f t="shared" si="29"/>
        <v>0</v>
      </c>
      <c r="P271" s="245"/>
      <c r="Q271" s="254">
        <f>HLOOKUP(Stats!$B$2,Info!$EN$3:$GZ$48,Info!$HA$31,0)</f>
        <v>4</v>
      </c>
      <c r="Y271" s="12">
        <v>270</v>
      </c>
    </row>
    <row r="272" spans="1:25" ht="12.75" customHeight="1" x14ac:dyDescent="0.2">
      <c r="A272" s="59"/>
      <c r="B272" s="138" t="s">
        <v>680</v>
      </c>
      <c r="C272" s="21" t="str">
        <f>HLOOKUP(Stats!$B$5,Info!$E$2:$DD$57,46,0)</f>
        <v>3/7</v>
      </c>
      <c r="D272" s="21" t="str">
        <f>IF(Stats!$B$6="","",HLOOKUP(Stats!$B$6,Info!$E$2:$DD$57,46,0))</f>
        <v>3/7</v>
      </c>
      <c r="E272" s="21"/>
      <c r="F272" s="21">
        <f>VLOOKUP(E272,Info!$HB$1:$HI$203,3)</f>
        <v>-15</v>
      </c>
      <c r="G272" s="21" t="s">
        <v>428</v>
      </c>
      <c r="H272" s="21">
        <f>Stats!$I$20</f>
        <v>-6</v>
      </c>
      <c r="I272" s="21"/>
      <c r="J272" s="21"/>
      <c r="K272" s="76">
        <f t="shared" ref="K272:K279" si="30">F272+H272+I272+J272+$K$271</f>
        <v>-28.009999999999998</v>
      </c>
      <c r="M272" s="261"/>
      <c r="O272" s="12">
        <f t="shared" si="29"/>
        <v>0</v>
      </c>
      <c r="P272" s="245"/>
      <c r="Q272" s="254"/>
      <c r="Y272" s="12">
        <v>271</v>
      </c>
    </row>
    <row r="273" spans="1:25" ht="12.75" customHeight="1" x14ac:dyDescent="0.2">
      <c r="A273" s="21"/>
      <c r="B273" s="38" t="s">
        <v>681</v>
      </c>
      <c r="C273" s="21" t="str">
        <f>HLOOKUP(Stats!$B$5,Info!$E$2:$DD$57,46,0)</f>
        <v>3/7</v>
      </c>
      <c r="D273" s="21" t="str">
        <f>IF(Stats!$B$6="","",HLOOKUP(Stats!$B$6,Info!$E$2:$DD$57,46,0))</f>
        <v>3/7</v>
      </c>
      <c r="E273" s="21"/>
      <c r="F273" s="21">
        <f>VLOOKUP(E273,Info!$HB$1:$HI$203,3)</f>
        <v>-15</v>
      </c>
      <c r="G273" s="21" t="s">
        <v>481</v>
      </c>
      <c r="H273" s="21">
        <f>Stats!$I$21</f>
        <v>4</v>
      </c>
      <c r="I273" s="21"/>
      <c r="J273" s="21"/>
      <c r="K273" s="76">
        <f t="shared" si="30"/>
        <v>-18.009999999999998</v>
      </c>
      <c r="M273" s="261"/>
      <c r="O273" s="12">
        <f t="shared" si="29"/>
        <v>0</v>
      </c>
      <c r="P273" s="245"/>
      <c r="Q273" s="254"/>
      <c r="Y273" s="12">
        <v>272</v>
      </c>
    </row>
    <row r="274" spans="1:25" ht="12.75" customHeight="1" x14ac:dyDescent="0.2">
      <c r="A274" s="21"/>
      <c r="B274" s="38" t="s">
        <v>682</v>
      </c>
      <c r="C274" s="21" t="str">
        <f>HLOOKUP(Stats!$B$5,Info!$E$2:$DD$57,46,0)</f>
        <v>3/7</v>
      </c>
      <c r="D274" s="21" t="str">
        <f>IF(Stats!$B$6="","",HLOOKUP(Stats!$B$6,Info!$E$2:$DD$57,46,0))</f>
        <v>3/7</v>
      </c>
      <c r="E274" s="21"/>
      <c r="F274" s="21">
        <f>VLOOKUP(E274,Info!$HB$1:$HI$203,3)</f>
        <v>-15</v>
      </c>
      <c r="G274" s="21" t="s">
        <v>428</v>
      </c>
      <c r="H274" s="21">
        <f>Stats!$I$20</f>
        <v>-6</v>
      </c>
      <c r="I274" s="21"/>
      <c r="J274" s="21"/>
      <c r="K274" s="76">
        <f t="shared" si="30"/>
        <v>-28.009999999999998</v>
      </c>
      <c r="M274" s="261"/>
      <c r="O274" s="12">
        <f t="shared" si="29"/>
        <v>0</v>
      </c>
      <c r="P274" s="245"/>
      <c r="Q274" s="254"/>
      <c r="Y274" s="12">
        <v>273</v>
      </c>
    </row>
    <row r="275" spans="1:25" ht="12.75" customHeight="1" x14ac:dyDescent="0.2">
      <c r="A275" s="21"/>
      <c r="B275" s="38" t="s">
        <v>683</v>
      </c>
      <c r="C275" s="21" t="str">
        <f>HLOOKUP(Stats!$B$5,Info!$E$2:$DD$57,46,0)</f>
        <v>3/7</v>
      </c>
      <c r="D275" s="21" t="str">
        <f>IF(Stats!$B$6="","",HLOOKUP(Stats!$B$6,Info!$E$2:$DD$57,46,0))</f>
        <v>3/7</v>
      </c>
      <c r="E275" s="21"/>
      <c r="F275" s="21">
        <f>VLOOKUP(E275,Info!$HB$1:$HI$203,3)</f>
        <v>-15</v>
      </c>
      <c r="G275" s="21" t="s">
        <v>222</v>
      </c>
      <c r="H275" s="21">
        <f>Stats!$I$15</f>
        <v>1</v>
      </c>
      <c r="I275" s="21"/>
      <c r="J275" s="21"/>
      <c r="K275" s="76">
        <f t="shared" si="30"/>
        <v>-21.009999999999998</v>
      </c>
      <c r="M275" s="261"/>
      <c r="O275" s="12">
        <f t="shared" si="29"/>
        <v>0</v>
      </c>
      <c r="P275" s="245"/>
      <c r="Q275" s="254"/>
      <c r="Y275" s="12">
        <v>274</v>
      </c>
    </row>
    <row r="276" spans="1:25" ht="12.75" customHeight="1" x14ac:dyDescent="0.2">
      <c r="A276" s="21"/>
      <c r="B276" s="38" t="s">
        <v>684</v>
      </c>
      <c r="C276" s="21" t="str">
        <f>HLOOKUP(Stats!$B$5,Info!$E$2:$DD$57,46,0)</f>
        <v>3/7</v>
      </c>
      <c r="D276" s="21" t="str">
        <f>IF(Stats!$B$6="","",HLOOKUP(Stats!$B$6,Info!$E$2:$DD$57,46,0))</f>
        <v>3/7</v>
      </c>
      <c r="E276" s="21"/>
      <c r="F276" s="21">
        <f>VLOOKUP(E276,Info!$HB$1:$HI$203,3)</f>
        <v>-15</v>
      </c>
      <c r="G276" s="21" t="s">
        <v>464</v>
      </c>
      <c r="H276" s="21">
        <f>Stats!$I$22</f>
        <v>4</v>
      </c>
      <c r="I276" s="21"/>
      <c r="J276" s="21"/>
      <c r="K276" s="76">
        <f t="shared" si="30"/>
        <v>-18.009999999999998</v>
      </c>
      <c r="M276" s="261"/>
      <c r="O276" s="12">
        <f t="shared" si="29"/>
        <v>0</v>
      </c>
      <c r="P276" s="245"/>
      <c r="Q276" s="254"/>
      <c r="Y276" s="12">
        <v>275</v>
      </c>
    </row>
    <row r="277" spans="1:25" ht="12.75" customHeight="1" x14ac:dyDescent="0.2">
      <c r="A277" s="21"/>
      <c r="B277" s="38" t="s">
        <v>685</v>
      </c>
      <c r="C277" s="21" t="str">
        <f>HLOOKUP(Stats!$B$5,Info!$E$2:$DD$57,46,0)</f>
        <v>3/7</v>
      </c>
      <c r="D277" s="21" t="str">
        <f>IF(Stats!$B$6="","",HLOOKUP(Stats!$B$6,Info!$E$2:$DD$57,46,0))</f>
        <v>3/7</v>
      </c>
      <c r="E277" s="21"/>
      <c r="F277" s="21">
        <f>VLOOKUP(E277,Info!$HB$1:$HI$203,3)</f>
        <v>-15</v>
      </c>
      <c r="G277" s="21" t="s">
        <v>445</v>
      </c>
      <c r="H277" s="21">
        <f>Stats!$I$13</f>
        <v>-6</v>
      </c>
      <c r="I277" s="21"/>
      <c r="J277" s="21"/>
      <c r="K277" s="76">
        <f t="shared" si="30"/>
        <v>-28.009999999999998</v>
      </c>
      <c r="M277" s="261"/>
      <c r="O277" s="12">
        <f t="shared" si="29"/>
        <v>0</v>
      </c>
      <c r="P277" s="245"/>
      <c r="Q277" s="254"/>
      <c r="Y277" s="12">
        <v>276</v>
      </c>
    </row>
    <row r="278" spans="1:25" ht="12.75" customHeight="1" x14ac:dyDescent="0.2">
      <c r="A278" s="21"/>
      <c r="B278" s="38" t="s">
        <v>686</v>
      </c>
      <c r="C278" s="21" t="str">
        <f>HLOOKUP(Stats!$B$5,Info!$E$2:$DD$57,46,0)</f>
        <v>3/7</v>
      </c>
      <c r="D278" s="21" t="str">
        <f>IF(Stats!$B$6="","",HLOOKUP(Stats!$B$6,Info!$E$2:$DD$57,46,0))</f>
        <v>3/7</v>
      </c>
      <c r="E278" s="21"/>
      <c r="F278" s="21">
        <f>VLOOKUP(E278,Info!$HB$1:$HI$203,3)</f>
        <v>-15</v>
      </c>
      <c r="G278" s="21" t="s">
        <v>222</v>
      </c>
      <c r="H278" s="21">
        <f>Stats!$I$15</f>
        <v>1</v>
      </c>
      <c r="I278" s="21"/>
      <c r="J278" s="21"/>
      <c r="K278" s="76">
        <f t="shared" si="30"/>
        <v>-21.009999999999998</v>
      </c>
      <c r="M278" s="261"/>
      <c r="O278" s="12">
        <f t="shared" si="29"/>
        <v>0</v>
      </c>
      <c r="P278" s="245"/>
      <c r="Q278" s="254"/>
      <c r="Y278" s="12">
        <v>277</v>
      </c>
    </row>
    <row r="279" spans="1:25" ht="12.75" customHeight="1" x14ac:dyDescent="0.2">
      <c r="A279" s="21"/>
      <c r="B279" s="38" t="s">
        <v>687</v>
      </c>
      <c r="C279" s="21" t="str">
        <f>HLOOKUP(Stats!$B$5,Info!$E$2:$DD$57,46,0)</f>
        <v>3/7</v>
      </c>
      <c r="D279" s="21" t="str">
        <f>IF(Stats!$B$6="","",HLOOKUP(Stats!$B$6,Info!$E$2:$DD$57,46,0))</f>
        <v>3/7</v>
      </c>
      <c r="E279" s="21"/>
      <c r="F279" s="21">
        <f>VLOOKUP(E279,Info!$HB$1:$HI$203,3)</f>
        <v>-15</v>
      </c>
      <c r="G279" s="21" t="s">
        <v>408</v>
      </c>
      <c r="H279" s="21">
        <f>Stats!$I$14</f>
        <v>13</v>
      </c>
      <c r="I279" s="21"/>
      <c r="J279" s="21"/>
      <c r="K279" s="76">
        <f t="shared" si="30"/>
        <v>-9.01</v>
      </c>
      <c r="M279" s="261"/>
      <c r="O279" s="12">
        <f t="shared" si="29"/>
        <v>0</v>
      </c>
      <c r="P279" s="245"/>
      <c r="Q279" s="254"/>
      <c r="Y279" s="12">
        <v>278</v>
      </c>
    </row>
    <row r="280" spans="1:25" ht="12.75" customHeight="1" x14ac:dyDescent="0.2">
      <c r="A280" s="312" t="s">
        <v>385</v>
      </c>
      <c r="B280" s="312"/>
      <c r="C280" s="17" t="s">
        <v>4130</v>
      </c>
      <c r="D280" s="17" t="s">
        <v>4131</v>
      </c>
      <c r="E280" s="17" t="s">
        <v>386</v>
      </c>
      <c r="F280" s="17" t="s">
        <v>387</v>
      </c>
      <c r="G280" s="17" t="s">
        <v>388</v>
      </c>
      <c r="H280" s="147" t="s">
        <v>389</v>
      </c>
      <c r="I280" s="17" t="s">
        <v>390</v>
      </c>
      <c r="J280" s="148" t="s">
        <v>207</v>
      </c>
      <c r="K280" s="148" t="s">
        <v>209</v>
      </c>
      <c r="M280" s="261"/>
      <c r="O280" s="12" t="s">
        <v>386</v>
      </c>
      <c r="P280" s="245"/>
      <c r="Q280" s="254"/>
      <c r="Y280" s="12">
        <v>279</v>
      </c>
    </row>
    <row r="281" spans="1:25" ht="12.75" customHeight="1" x14ac:dyDescent="0.2">
      <c r="A281" s="162" t="s">
        <v>688</v>
      </c>
      <c r="B281" s="163"/>
      <c r="C281" s="60"/>
      <c r="D281" s="60"/>
      <c r="E281" s="42"/>
      <c r="F281" s="42"/>
      <c r="G281" s="42" t="s">
        <v>518</v>
      </c>
      <c r="H281" s="42">
        <f>Stats!$I$17+Stats!$I$16</f>
        <v>8</v>
      </c>
      <c r="I281" s="171">
        <f>IF(Stats!$M$4="",HLOOKUP(Stats!$B$5,Info!$F$59:$DD$114,Info!$DF$48,0),((HLOOKUP(Stats!$B$5,Info!$F$59:$DD$114,Info!$DF$48,0)+HLOOKUP(Stats!$B$6,Info!$F$59:$DD$114,Info!$DF$48,0))/2-0.01))</f>
        <v>-0.01</v>
      </c>
      <c r="J281" s="42"/>
      <c r="K281" s="271">
        <f>F281+H281+I281+J281</f>
        <v>7.99</v>
      </c>
      <c r="M281" s="261"/>
      <c r="O281" s="12">
        <f t="shared" ref="O281:O312" si="31">E281+M281</f>
        <v>0</v>
      </c>
      <c r="P281" s="245"/>
      <c r="Q281" s="254"/>
      <c r="Y281" s="12">
        <v>280</v>
      </c>
    </row>
    <row r="282" spans="1:25" ht="12.75" customHeight="1" x14ac:dyDescent="0.2">
      <c r="A282" s="59"/>
      <c r="B282" s="138" t="s">
        <v>689</v>
      </c>
      <c r="C282" s="21" t="str">
        <f>HLOOKUP(Stats!$B$5,Info!$E$2:$DD$57,47,0)</f>
        <v>8</v>
      </c>
      <c r="D282" s="21" t="str">
        <f>IF(Stats!$B$6="","",HLOOKUP(Stats!$B$6,Info!$E$2:$DD$57,47,0))</f>
        <v>8</v>
      </c>
      <c r="E282" s="21"/>
      <c r="F282" s="21">
        <f>VLOOKUP(E282,Info!$HB$1:$HI$203,5)</f>
        <v>-30</v>
      </c>
      <c r="G282" s="21" t="s">
        <v>464</v>
      </c>
      <c r="H282" s="21">
        <f>Stats!$I$22</f>
        <v>4</v>
      </c>
      <c r="I282" s="21"/>
      <c r="J282" s="21"/>
      <c r="K282" s="76">
        <f t="shared" ref="K282:K292" si="32">F282+H282+I282+J282+$K$281</f>
        <v>-18.009999999999998</v>
      </c>
      <c r="M282" s="261"/>
      <c r="O282" s="12">
        <f t="shared" si="31"/>
        <v>0</v>
      </c>
      <c r="P282" s="245"/>
      <c r="Q282" s="254"/>
      <c r="Y282" s="12">
        <v>281</v>
      </c>
    </row>
    <row r="283" spans="1:25" ht="12.75" customHeight="1" x14ac:dyDescent="0.2">
      <c r="A283" s="21"/>
      <c r="B283" s="38" t="s">
        <v>690</v>
      </c>
      <c r="C283" s="21" t="str">
        <f>HLOOKUP(Stats!$B$5,Info!$E$2:$DD$57,47,0)</f>
        <v>8</v>
      </c>
      <c r="D283" s="21" t="str">
        <f>IF(Stats!$B$6="","",HLOOKUP(Stats!$B$6,Info!$E$2:$DD$57,47,0))</f>
        <v>8</v>
      </c>
      <c r="E283" s="21"/>
      <c r="F283" s="21">
        <f>VLOOKUP(E283,Info!$HB$1:$HI$203,5)</f>
        <v>-30</v>
      </c>
      <c r="G283" s="21" t="s">
        <v>481</v>
      </c>
      <c r="H283" s="21">
        <f>Stats!$I$21</f>
        <v>4</v>
      </c>
      <c r="I283" s="21"/>
      <c r="J283" s="21"/>
      <c r="K283" s="76">
        <f t="shared" si="32"/>
        <v>-18.009999999999998</v>
      </c>
      <c r="M283" s="261"/>
      <c r="O283" s="12">
        <f t="shared" si="31"/>
        <v>0</v>
      </c>
      <c r="P283" s="245"/>
      <c r="Q283" s="254"/>
      <c r="Y283" s="12">
        <v>282</v>
      </c>
    </row>
    <row r="284" spans="1:25" ht="12.75" customHeight="1" x14ac:dyDescent="0.2">
      <c r="A284" s="21"/>
      <c r="B284" s="38" t="s">
        <v>691</v>
      </c>
      <c r="C284" s="21" t="str">
        <f>HLOOKUP(Stats!$B$5,Info!$E$2:$DD$57,47,0)</f>
        <v>8</v>
      </c>
      <c r="D284" s="21" t="str">
        <f>IF(Stats!$B$6="","",HLOOKUP(Stats!$B$6,Info!$E$2:$DD$57,47,0))</f>
        <v>8</v>
      </c>
      <c r="E284" s="21"/>
      <c r="F284" s="21">
        <f>VLOOKUP(E284,Info!$HB$1:$HI$203,5)</f>
        <v>-30</v>
      </c>
      <c r="G284" s="21" t="s">
        <v>464</v>
      </c>
      <c r="H284" s="21">
        <f>Stats!$I$22</f>
        <v>4</v>
      </c>
      <c r="I284" s="21"/>
      <c r="J284" s="21"/>
      <c r="K284" s="76">
        <f t="shared" si="32"/>
        <v>-18.009999999999998</v>
      </c>
      <c r="M284" s="261"/>
      <c r="O284" s="12">
        <f t="shared" si="31"/>
        <v>0</v>
      </c>
      <c r="P284" s="245"/>
      <c r="Q284" s="254"/>
      <c r="Y284" s="12">
        <v>283</v>
      </c>
    </row>
    <row r="285" spans="1:25" ht="12.75" customHeight="1" x14ac:dyDescent="0.2">
      <c r="A285" s="21"/>
      <c r="B285" s="38" t="s">
        <v>692</v>
      </c>
      <c r="C285" s="21" t="str">
        <f>HLOOKUP(Stats!$B$5,Info!$E$2:$DD$57,47,0)</f>
        <v>8</v>
      </c>
      <c r="D285" s="21" t="str">
        <f>IF(Stats!$B$6="","",HLOOKUP(Stats!$B$6,Info!$E$2:$DD$57,47,0))</f>
        <v>8</v>
      </c>
      <c r="E285" s="21"/>
      <c r="F285" s="21">
        <f>VLOOKUP(E285,Info!$HB$1:$HI$203,5)</f>
        <v>-30</v>
      </c>
      <c r="G285" s="21" t="s">
        <v>222</v>
      </c>
      <c r="H285" s="21">
        <f>Stats!$I$15</f>
        <v>1</v>
      </c>
      <c r="I285" s="21"/>
      <c r="J285" s="21"/>
      <c r="K285" s="76">
        <f t="shared" si="32"/>
        <v>-21.009999999999998</v>
      </c>
      <c r="M285" s="261"/>
      <c r="O285" s="12">
        <f t="shared" si="31"/>
        <v>0</v>
      </c>
      <c r="P285" s="245"/>
      <c r="Q285" s="254"/>
      <c r="Y285" s="12">
        <v>284</v>
      </c>
    </row>
    <row r="286" spans="1:25" ht="12.75" customHeight="1" x14ac:dyDescent="0.2">
      <c r="A286" s="21"/>
      <c r="B286" s="38" t="s">
        <v>693</v>
      </c>
      <c r="C286" s="21" t="str">
        <f>HLOOKUP(Stats!$B$5,Info!$E$2:$DD$57,47,0)</f>
        <v>8</v>
      </c>
      <c r="D286" s="21" t="str">
        <f>IF(Stats!$B$6="","",HLOOKUP(Stats!$B$6,Info!$E$2:$DD$57,47,0))</f>
        <v>8</v>
      </c>
      <c r="E286" s="21"/>
      <c r="F286" s="21">
        <f>VLOOKUP(E286,Info!$HB$1:$HI$203,5)</f>
        <v>-30</v>
      </c>
      <c r="G286" s="21" t="s">
        <v>464</v>
      </c>
      <c r="H286" s="21">
        <f>Stats!$I$22</f>
        <v>4</v>
      </c>
      <c r="I286" s="21"/>
      <c r="J286" s="21"/>
      <c r="K286" s="76">
        <f t="shared" si="32"/>
        <v>-18.009999999999998</v>
      </c>
      <c r="M286" s="261"/>
      <c r="O286" s="12">
        <f t="shared" si="31"/>
        <v>0</v>
      </c>
      <c r="P286" s="245"/>
      <c r="Q286" s="254"/>
      <c r="Y286" s="12">
        <v>285</v>
      </c>
    </row>
    <row r="287" spans="1:25" ht="12.75" customHeight="1" x14ac:dyDescent="0.2">
      <c r="A287" s="21"/>
      <c r="B287" s="38" t="s">
        <v>694</v>
      </c>
      <c r="C287" s="21" t="str">
        <f>HLOOKUP(Stats!$B$5,Info!$E$2:$DD$57,47,0)</f>
        <v>8</v>
      </c>
      <c r="D287" s="21" t="str">
        <f>IF(Stats!$B$6="","",HLOOKUP(Stats!$B$6,Info!$E$2:$DD$57,47,0))</f>
        <v>8</v>
      </c>
      <c r="E287" s="21"/>
      <c r="F287" s="21">
        <f>VLOOKUP(E287,Info!$HB$1:$HI$203,5)</f>
        <v>-30</v>
      </c>
      <c r="G287" s="21" t="s">
        <v>408</v>
      </c>
      <c r="H287" s="21">
        <f>Stats!$I$14</f>
        <v>13</v>
      </c>
      <c r="I287" s="21"/>
      <c r="J287" s="21"/>
      <c r="K287" s="76">
        <f t="shared" si="32"/>
        <v>-9.01</v>
      </c>
      <c r="M287" s="261"/>
      <c r="O287" s="12">
        <f t="shared" si="31"/>
        <v>0</v>
      </c>
      <c r="P287" s="245"/>
      <c r="Q287" s="254"/>
      <c r="Y287" s="12">
        <v>286</v>
      </c>
    </row>
    <row r="288" spans="1:25" ht="12.75" customHeight="1" x14ac:dyDescent="0.2">
      <c r="A288" s="21"/>
      <c r="B288" s="38" t="s">
        <v>695</v>
      </c>
      <c r="C288" s="21" t="str">
        <f>HLOOKUP(Stats!$B$5,Info!$E$2:$DD$57,47,0)</f>
        <v>8</v>
      </c>
      <c r="D288" s="21" t="str">
        <f>IF(Stats!$B$6="","",HLOOKUP(Stats!$B$6,Info!$E$2:$DD$57,47,0))</f>
        <v>8</v>
      </c>
      <c r="E288" s="21"/>
      <c r="F288" s="21">
        <f>VLOOKUP(E288,Info!$HB$1:$HI$203,5)</f>
        <v>-30</v>
      </c>
      <c r="G288" s="21" t="s">
        <v>464</v>
      </c>
      <c r="H288" s="21">
        <f>Stats!$I$22</f>
        <v>4</v>
      </c>
      <c r="I288" s="21"/>
      <c r="J288" s="21"/>
      <c r="K288" s="76">
        <f t="shared" si="32"/>
        <v>-18.009999999999998</v>
      </c>
      <c r="M288" s="261"/>
      <c r="O288" s="12">
        <f t="shared" si="31"/>
        <v>0</v>
      </c>
      <c r="P288" s="245"/>
      <c r="Q288" s="254"/>
      <c r="Y288" s="12">
        <v>287</v>
      </c>
    </row>
    <row r="289" spans="1:25" ht="12.75" customHeight="1" x14ac:dyDescent="0.2">
      <c r="A289" s="21"/>
      <c r="B289" s="38" t="s">
        <v>696</v>
      </c>
      <c r="C289" s="21" t="str">
        <f>HLOOKUP(Stats!$B$5,Info!$E$2:$DD$57,47,0)</f>
        <v>8</v>
      </c>
      <c r="D289" s="21" t="str">
        <f>IF(Stats!$B$6="","",HLOOKUP(Stats!$B$6,Info!$E$2:$DD$57,47,0))</f>
        <v>8</v>
      </c>
      <c r="E289" s="21"/>
      <c r="F289" s="21">
        <f>VLOOKUP(E289,Info!$HB$1:$HI$203,5)</f>
        <v>-30</v>
      </c>
      <c r="G289" s="21" t="s">
        <v>464</v>
      </c>
      <c r="H289" s="21">
        <f>Stats!$I$22</f>
        <v>4</v>
      </c>
      <c r="I289" s="21"/>
      <c r="J289" s="21"/>
      <c r="K289" s="76">
        <f t="shared" si="32"/>
        <v>-18.009999999999998</v>
      </c>
      <c r="M289" s="261"/>
      <c r="O289" s="12">
        <f t="shared" si="31"/>
        <v>0</v>
      </c>
      <c r="P289" s="245"/>
      <c r="Q289" s="254"/>
      <c r="Y289" s="12">
        <v>288</v>
      </c>
    </row>
    <row r="290" spans="1:25" ht="12.75" customHeight="1" x14ac:dyDescent="0.2">
      <c r="A290" s="21"/>
      <c r="B290" s="38" t="s">
        <v>697</v>
      </c>
      <c r="C290" s="21" t="str">
        <f>HLOOKUP(Stats!$B$5,Info!$E$2:$DD$57,47,0)</f>
        <v>8</v>
      </c>
      <c r="D290" s="21" t="str">
        <f>IF(Stats!$B$6="","",HLOOKUP(Stats!$B$6,Info!$E$2:$DD$57,47,0))</f>
        <v>8</v>
      </c>
      <c r="E290" s="21"/>
      <c r="F290" s="21">
        <f>VLOOKUP(E290,Info!$HB$1:$HI$203,5)</f>
        <v>-30</v>
      </c>
      <c r="G290" s="21" t="s">
        <v>481</v>
      </c>
      <c r="H290" s="21">
        <f>Stats!$I$21</f>
        <v>4</v>
      </c>
      <c r="I290" s="21"/>
      <c r="J290" s="21"/>
      <c r="K290" s="76">
        <f t="shared" si="32"/>
        <v>-18.009999999999998</v>
      </c>
      <c r="M290" s="261"/>
      <c r="O290" s="12">
        <f t="shared" si="31"/>
        <v>0</v>
      </c>
      <c r="P290" s="245"/>
      <c r="Q290" s="254"/>
      <c r="Y290" s="12">
        <v>289</v>
      </c>
    </row>
    <row r="291" spans="1:25" ht="12.75" customHeight="1" x14ac:dyDescent="0.2">
      <c r="A291" s="21"/>
      <c r="B291" s="38" t="s">
        <v>698</v>
      </c>
      <c r="C291" s="21" t="str">
        <f>HLOOKUP(Stats!$B$5,Info!$E$2:$DD$57,47,0)</f>
        <v>8</v>
      </c>
      <c r="D291" s="21" t="str">
        <f>IF(Stats!$B$6="","",HLOOKUP(Stats!$B$6,Info!$E$2:$DD$57,47,0))</f>
        <v>8</v>
      </c>
      <c r="E291" s="21"/>
      <c r="F291" s="21">
        <f>VLOOKUP(E291,Info!$HB$1:$HI$203,5)</f>
        <v>-30</v>
      </c>
      <c r="G291" s="21" t="s">
        <v>481</v>
      </c>
      <c r="H291" s="21">
        <f>Stats!$I$21</f>
        <v>4</v>
      </c>
      <c r="I291" s="21"/>
      <c r="J291" s="21"/>
      <c r="K291" s="76">
        <f t="shared" si="32"/>
        <v>-18.009999999999998</v>
      </c>
      <c r="M291" s="261"/>
      <c r="O291" s="12">
        <f t="shared" si="31"/>
        <v>0</v>
      </c>
      <c r="P291" s="245"/>
      <c r="Q291" s="254"/>
      <c r="Y291" s="12">
        <v>290</v>
      </c>
    </row>
    <row r="292" spans="1:25" ht="12.75" customHeight="1" x14ac:dyDescent="0.2">
      <c r="A292" s="97"/>
      <c r="B292" s="155" t="s">
        <v>699</v>
      </c>
      <c r="C292" s="21" t="str">
        <f>HLOOKUP(Stats!$B$5,Info!$E$2:$DD$57,47,0)</f>
        <v>8</v>
      </c>
      <c r="D292" s="21" t="str">
        <f>IF(Stats!$B$6="","",HLOOKUP(Stats!$B$6,Info!$E$2:$DD$57,47,0))</f>
        <v>8</v>
      </c>
      <c r="E292" s="21"/>
      <c r="F292" s="21">
        <f>VLOOKUP(E292,Info!$HB$1:$HI$203,5)</f>
        <v>-30</v>
      </c>
      <c r="G292" s="21" t="s">
        <v>481</v>
      </c>
      <c r="H292" s="21">
        <f>Stats!$I$21</f>
        <v>4</v>
      </c>
      <c r="I292" s="21"/>
      <c r="J292" s="21"/>
      <c r="K292" s="76">
        <f t="shared" si="32"/>
        <v>-18.009999999999998</v>
      </c>
      <c r="M292" s="261"/>
      <c r="O292" s="12">
        <f t="shared" si="31"/>
        <v>0</v>
      </c>
      <c r="P292" s="245"/>
      <c r="Q292" s="254"/>
      <c r="Y292" s="12">
        <v>291</v>
      </c>
    </row>
    <row r="293" spans="1:25" ht="12.75" customHeight="1" x14ac:dyDescent="0.2">
      <c r="A293" s="116" t="s">
        <v>700</v>
      </c>
      <c r="B293" s="83"/>
      <c r="C293" s="100"/>
      <c r="D293" s="100"/>
      <c r="E293" s="153"/>
      <c r="F293" s="153"/>
      <c r="G293" s="153" t="s">
        <v>701</v>
      </c>
      <c r="H293" s="153">
        <f>Stats!I22+Stats!I16</f>
        <v>8</v>
      </c>
      <c r="I293" s="171">
        <f>IF(Stats!$M$4="",HLOOKUP(Stats!$B$5,Info!$F$59:$DD$114,Info!$DF$49,0),((HLOOKUP(Stats!$B$5,Info!$F$59:$DD$114,Info!$DF$49,0)+HLOOKUP(Stats!$B$6,Info!$F$59:$DD$114,Info!$DF$49,0))/2-0.01))</f>
        <v>-0.01</v>
      </c>
      <c r="J293" s="153"/>
      <c r="K293" s="171">
        <f>F293+H293+I293+J293</f>
        <v>7.99</v>
      </c>
      <c r="M293" s="261"/>
      <c r="O293" s="12">
        <f t="shared" si="31"/>
        <v>0</v>
      </c>
      <c r="P293" s="245"/>
      <c r="Q293" s="254"/>
      <c r="Y293" s="12">
        <v>292</v>
      </c>
    </row>
    <row r="294" spans="1:25" ht="12.75" customHeight="1" x14ac:dyDescent="0.2">
      <c r="A294" s="59"/>
      <c r="B294" s="138" t="s">
        <v>702</v>
      </c>
      <c r="C294" s="21" t="str">
        <f>HLOOKUP(Stats!$B$5,Info!$E$2:$DD$57,48,0)</f>
        <v>5/12</v>
      </c>
      <c r="D294" s="21" t="str">
        <f>IF(Stats!$B$6="","",HLOOKUP(Stats!$B$6,Info!$E$2:$DD$57,48,0))</f>
        <v>5/12</v>
      </c>
      <c r="E294" s="21"/>
      <c r="F294" s="21">
        <f>VLOOKUP(E294,Info!$HB$1:$HI$203,5)</f>
        <v>-30</v>
      </c>
      <c r="G294" s="21" t="s">
        <v>432</v>
      </c>
      <c r="H294" s="21">
        <f>Stats!$I$17</f>
        <v>4</v>
      </c>
      <c r="I294" s="21"/>
      <c r="J294" s="21"/>
      <c r="K294" s="76">
        <f t="shared" ref="K294:K305" si="33">F294+H294+I294+J294+$K$293</f>
        <v>-18.009999999999998</v>
      </c>
      <c r="M294" s="261"/>
      <c r="O294" s="12">
        <f t="shared" si="31"/>
        <v>0</v>
      </c>
      <c r="P294" s="245"/>
      <c r="Q294" s="254"/>
      <c r="Y294" s="12">
        <v>293</v>
      </c>
    </row>
    <row r="295" spans="1:25" ht="12.75" customHeight="1" x14ac:dyDescent="0.2">
      <c r="A295" s="21"/>
      <c r="B295" s="38" t="s">
        <v>703</v>
      </c>
      <c r="C295" s="21" t="str">
        <f>HLOOKUP(Stats!$B$5,Info!$E$2:$DD$57,48,0)</f>
        <v>5/12</v>
      </c>
      <c r="D295" s="21" t="str">
        <f>IF(Stats!$B$6="","",HLOOKUP(Stats!$B$6,Info!$E$2:$DD$57,48,0))</f>
        <v>5/12</v>
      </c>
      <c r="E295" s="21"/>
      <c r="F295" s="21">
        <f>VLOOKUP(E295,Info!$HB$1:$HI$203,5)</f>
        <v>-30</v>
      </c>
      <c r="G295" s="21" t="s">
        <v>408</v>
      </c>
      <c r="H295" s="21">
        <f>Stats!$I$14</f>
        <v>13</v>
      </c>
      <c r="I295" s="21"/>
      <c r="J295" s="21"/>
      <c r="K295" s="76">
        <f t="shared" si="33"/>
        <v>-9.01</v>
      </c>
      <c r="M295" s="261"/>
      <c r="O295" s="12">
        <f t="shared" si="31"/>
        <v>0</v>
      </c>
      <c r="P295" s="245"/>
      <c r="Q295" s="254"/>
      <c r="Y295" s="12">
        <v>294</v>
      </c>
    </row>
    <row r="296" spans="1:25" ht="12.75" customHeight="1" x14ac:dyDescent="0.2">
      <c r="A296" s="21"/>
      <c r="B296" s="38" t="s">
        <v>704</v>
      </c>
      <c r="C296" s="21" t="str">
        <f>HLOOKUP(Stats!$B$5,Info!$E$2:$DD$57,48,0)</f>
        <v>5/12</v>
      </c>
      <c r="D296" s="21" t="str">
        <f>IF(Stats!$B$6="","",HLOOKUP(Stats!$B$6,Info!$E$2:$DD$57,48,0))</f>
        <v>5/12</v>
      </c>
      <c r="E296" s="21"/>
      <c r="F296" s="21">
        <f>VLOOKUP(E296,Info!$HB$1:$HI$203,5)</f>
        <v>-30</v>
      </c>
      <c r="G296" s="21" t="s">
        <v>432</v>
      </c>
      <c r="H296" s="21">
        <f>Stats!$I$17</f>
        <v>4</v>
      </c>
      <c r="I296" s="21"/>
      <c r="J296" s="21"/>
      <c r="K296" s="76">
        <f t="shared" si="33"/>
        <v>-18.009999999999998</v>
      </c>
      <c r="M296" s="261"/>
      <c r="O296" s="12">
        <f t="shared" si="31"/>
        <v>0</v>
      </c>
      <c r="P296" s="245"/>
      <c r="Q296" s="254"/>
      <c r="Y296" s="12">
        <v>295</v>
      </c>
    </row>
    <row r="297" spans="1:25" ht="12.75" customHeight="1" x14ac:dyDescent="0.2">
      <c r="A297" s="21"/>
      <c r="B297" s="38" t="s">
        <v>705</v>
      </c>
      <c r="C297" s="21" t="str">
        <f>HLOOKUP(Stats!$B$5,Info!$E$2:$DD$57,48,0)</f>
        <v>5/12</v>
      </c>
      <c r="D297" s="21" t="str">
        <f>IF(Stats!$B$6="","",HLOOKUP(Stats!$B$6,Info!$E$2:$DD$57,48,0))</f>
        <v>5/12</v>
      </c>
      <c r="E297" s="21"/>
      <c r="F297" s="21">
        <f>VLOOKUP(E297,Info!$HB$1:$HI$203,5)</f>
        <v>-30</v>
      </c>
      <c r="G297" s="21" t="s">
        <v>432</v>
      </c>
      <c r="H297" s="21">
        <f>Stats!$I$17</f>
        <v>4</v>
      </c>
      <c r="I297" s="21"/>
      <c r="J297" s="21"/>
      <c r="K297" s="76">
        <f t="shared" si="33"/>
        <v>-18.009999999999998</v>
      </c>
      <c r="M297" s="261"/>
      <c r="O297" s="12">
        <f t="shared" si="31"/>
        <v>0</v>
      </c>
      <c r="P297" s="245"/>
      <c r="Q297" s="254"/>
      <c r="Y297" s="12">
        <v>296</v>
      </c>
    </row>
    <row r="298" spans="1:25" ht="12.75" customHeight="1" x14ac:dyDescent="0.2">
      <c r="A298" s="21"/>
      <c r="B298" s="38" t="s">
        <v>706</v>
      </c>
      <c r="C298" s="21" t="str">
        <f>HLOOKUP(Stats!$B$5,Info!$E$2:$DD$57,48,0)</f>
        <v>5/12</v>
      </c>
      <c r="D298" s="21" t="str">
        <f>IF(Stats!$B$6="","",HLOOKUP(Stats!$B$6,Info!$E$2:$DD$57,48,0))</f>
        <v>5/12</v>
      </c>
      <c r="E298" s="21"/>
      <c r="F298" s="21">
        <f>VLOOKUP(E298,Info!$HB$1:$HI$203,5)</f>
        <v>-30</v>
      </c>
      <c r="G298" s="21" t="s">
        <v>432</v>
      </c>
      <c r="H298" s="21">
        <f>Stats!$I$17</f>
        <v>4</v>
      </c>
      <c r="I298" s="21"/>
      <c r="J298" s="21"/>
      <c r="K298" s="76">
        <f t="shared" si="33"/>
        <v>-18.009999999999998</v>
      </c>
      <c r="M298" s="261"/>
      <c r="O298" s="12">
        <f t="shared" si="31"/>
        <v>0</v>
      </c>
      <c r="P298" s="245"/>
      <c r="Q298" s="254"/>
      <c r="Y298" s="12">
        <v>297</v>
      </c>
    </row>
    <row r="299" spans="1:25" ht="12.75" customHeight="1" x14ac:dyDescent="0.2">
      <c r="A299" s="21"/>
      <c r="B299" s="38" t="s">
        <v>707</v>
      </c>
      <c r="C299" s="21" t="str">
        <f>HLOOKUP(Stats!$B$5,Info!$E$2:$DD$57,48,0)</f>
        <v>5/12</v>
      </c>
      <c r="D299" s="21" t="str">
        <f>IF(Stats!$B$6="","",HLOOKUP(Stats!$B$6,Info!$E$2:$DD$57,48,0))</f>
        <v>5/12</v>
      </c>
      <c r="E299" s="21"/>
      <c r="F299" s="21">
        <f>VLOOKUP(E299,Info!$HB$1:$HI$203,5)</f>
        <v>-30</v>
      </c>
      <c r="G299" s="21" t="s">
        <v>432</v>
      </c>
      <c r="H299" s="21">
        <f>Stats!$I$17</f>
        <v>4</v>
      </c>
      <c r="I299" s="21"/>
      <c r="J299" s="21"/>
      <c r="K299" s="76">
        <f t="shared" si="33"/>
        <v>-18.009999999999998</v>
      </c>
      <c r="M299" s="261"/>
      <c r="O299" s="12">
        <f t="shared" si="31"/>
        <v>0</v>
      </c>
      <c r="P299" s="245"/>
      <c r="Q299" s="254"/>
      <c r="Y299" s="12">
        <v>298</v>
      </c>
    </row>
    <row r="300" spans="1:25" ht="12.75" customHeight="1" x14ac:dyDescent="0.2">
      <c r="A300" s="21"/>
      <c r="B300" s="38" t="s">
        <v>708</v>
      </c>
      <c r="C300" s="21" t="str">
        <f>HLOOKUP(Stats!$B$5,Info!$E$2:$DD$57,48,0)</f>
        <v>5/12</v>
      </c>
      <c r="D300" s="21" t="str">
        <f>IF(Stats!$B$6="","",HLOOKUP(Stats!$B$6,Info!$E$2:$DD$57,48,0))</f>
        <v>5/12</v>
      </c>
      <c r="E300" s="21"/>
      <c r="F300" s="21">
        <f>VLOOKUP(E300,Info!$HB$1:$HI$203,5)</f>
        <v>-30</v>
      </c>
      <c r="G300" s="21" t="s">
        <v>432</v>
      </c>
      <c r="H300" s="21">
        <f>Stats!$I$17</f>
        <v>4</v>
      </c>
      <c r="I300" s="21"/>
      <c r="J300" s="21"/>
      <c r="K300" s="76">
        <f t="shared" si="33"/>
        <v>-18.009999999999998</v>
      </c>
      <c r="M300" s="261"/>
      <c r="O300" s="12">
        <f t="shared" si="31"/>
        <v>0</v>
      </c>
      <c r="P300" s="245"/>
      <c r="Q300" s="254"/>
      <c r="Y300" s="12">
        <v>299</v>
      </c>
    </row>
    <row r="301" spans="1:25" ht="12.75" customHeight="1" x14ac:dyDescent="0.2">
      <c r="A301" s="21"/>
      <c r="B301" s="38" t="s">
        <v>709</v>
      </c>
      <c r="C301" s="21" t="str">
        <f>HLOOKUP(Stats!$B$5,Info!$E$2:$DD$57,48,0)</f>
        <v>5/12</v>
      </c>
      <c r="D301" s="21" t="str">
        <f>IF(Stats!$B$6="","",HLOOKUP(Stats!$B$6,Info!$E$2:$DD$57,48,0))</f>
        <v>5/12</v>
      </c>
      <c r="E301" s="21"/>
      <c r="F301" s="21">
        <f>VLOOKUP(E301,Info!$HB$1:$HI$203,5)</f>
        <v>-30</v>
      </c>
      <c r="G301" s="21" t="s">
        <v>432</v>
      </c>
      <c r="H301" s="21">
        <f>Stats!$I$17</f>
        <v>4</v>
      </c>
      <c r="I301" s="21"/>
      <c r="J301" s="21"/>
      <c r="K301" s="76">
        <f t="shared" si="33"/>
        <v>-18.009999999999998</v>
      </c>
      <c r="M301" s="261"/>
      <c r="O301" s="12">
        <f t="shared" si="31"/>
        <v>0</v>
      </c>
      <c r="P301" s="245"/>
      <c r="Q301" s="254"/>
      <c r="Y301" s="12">
        <v>300</v>
      </c>
    </row>
    <row r="302" spans="1:25" ht="12.75" customHeight="1" x14ac:dyDescent="0.2">
      <c r="A302" s="21"/>
      <c r="B302" s="38" t="s">
        <v>710</v>
      </c>
      <c r="C302" s="21" t="str">
        <f>HLOOKUP(Stats!$B$5,Info!$E$2:$DD$57,48,0)</f>
        <v>5/12</v>
      </c>
      <c r="D302" s="21" t="str">
        <f>IF(Stats!$B$6="","",HLOOKUP(Stats!$B$6,Info!$E$2:$DD$57,48,0))</f>
        <v>5/12</v>
      </c>
      <c r="E302" s="21"/>
      <c r="F302" s="21">
        <f>VLOOKUP(E302,Info!$HB$1:$HI$203,5)</f>
        <v>-30</v>
      </c>
      <c r="G302" s="21" t="s">
        <v>481</v>
      </c>
      <c r="H302" s="21">
        <f>Stats!$I$21</f>
        <v>4</v>
      </c>
      <c r="I302" s="21"/>
      <c r="J302" s="21"/>
      <c r="K302" s="76">
        <f t="shared" si="33"/>
        <v>-18.009999999999998</v>
      </c>
      <c r="M302" s="261"/>
      <c r="O302" s="12">
        <f t="shared" si="31"/>
        <v>0</v>
      </c>
      <c r="P302" s="245"/>
      <c r="Q302" s="254"/>
      <c r="Y302" s="12">
        <v>301</v>
      </c>
    </row>
    <row r="303" spans="1:25" ht="12.75" customHeight="1" x14ac:dyDescent="0.2">
      <c r="A303" s="21"/>
      <c r="B303" s="38" t="s">
        <v>711</v>
      </c>
      <c r="C303" s="21" t="str">
        <f>HLOOKUP(Stats!$B$5,Info!$E$2:$DD$57,48,0)</f>
        <v>5/12</v>
      </c>
      <c r="D303" s="21" t="str">
        <f>IF(Stats!$B$6="","",HLOOKUP(Stats!$B$6,Info!$E$2:$DD$57,48,0))</f>
        <v>5/12</v>
      </c>
      <c r="E303" s="21"/>
      <c r="F303" s="21">
        <f>VLOOKUP(E303,Info!$HB$1:$HI$203,5)</f>
        <v>-30</v>
      </c>
      <c r="G303" s="21" t="s">
        <v>481</v>
      </c>
      <c r="H303" s="21">
        <f>Stats!$I$21</f>
        <v>4</v>
      </c>
      <c r="I303" s="21"/>
      <c r="J303" s="21"/>
      <c r="K303" s="76">
        <f t="shared" si="33"/>
        <v>-18.009999999999998</v>
      </c>
      <c r="M303" s="261"/>
      <c r="O303" s="12">
        <f t="shared" si="31"/>
        <v>0</v>
      </c>
      <c r="P303" s="245"/>
      <c r="Q303" s="254"/>
      <c r="Y303" s="12">
        <v>302</v>
      </c>
    </row>
    <row r="304" spans="1:25" ht="12.75" customHeight="1" x14ac:dyDescent="0.2">
      <c r="A304" s="21"/>
      <c r="B304" s="38" t="s">
        <v>712</v>
      </c>
      <c r="C304" s="21" t="str">
        <f>HLOOKUP(Stats!$B$5,Info!$E$2:$DD$57,48,0)</f>
        <v>5/12</v>
      </c>
      <c r="D304" s="21" t="str">
        <f>IF(Stats!$B$6="","",HLOOKUP(Stats!$B$6,Info!$E$2:$DD$57,48,0))</f>
        <v>5/12</v>
      </c>
      <c r="E304" s="21"/>
      <c r="F304" s="21">
        <f>VLOOKUP(E304,Info!$HB$1:$HI$203,5)</f>
        <v>-30</v>
      </c>
      <c r="G304" s="21" t="s">
        <v>432</v>
      </c>
      <c r="H304" s="21">
        <f>Stats!$I$17</f>
        <v>4</v>
      </c>
      <c r="I304" s="21"/>
      <c r="J304" s="21"/>
      <c r="K304" s="76">
        <f t="shared" si="33"/>
        <v>-18.009999999999998</v>
      </c>
      <c r="M304" s="261"/>
      <c r="O304" s="12">
        <f t="shared" si="31"/>
        <v>0</v>
      </c>
      <c r="P304" s="245"/>
      <c r="Q304" s="254"/>
      <c r="Y304" s="12">
        <v>303</v>
      </c>
    </row>
    <row r="305" spans="1:25" ht="12.75" customHeight="1" x14ac:dyDescent="0.2">
      <c r="A305" s="97"/>
      <c r="B305" s="155" t="s">
        <v>713</v>
      </c>
      <c r="C305" s="21" t="str">
        <f>HLOOKUP(Stats!$B$5,Info!$E$2:$DD$57,48,0)</f>
        <v>5/12</v>
      </c>
      <c r="D305" s="21" t="str">
        <f>IF(Stats!$B$6="","",HLOOKUP(Stats!$B$6,Info!$E$2:$DD$57,48,0))</f>
        <v>5/12</v>
      </c>
      <c r="E305" s="21"/>
      <c r="F305" s="21">
        <f>VLOOKUP(E305,Info!$HB$1:$HI$203,5)</f>
        <v>-30</v>
      </c>
      <c r="G305" s="21" t="s">
        <v>432</v>
      </c>
      <c r="H305" s="21">
        <f>Stats!$I$17</f>
        <v>4</v>
      </c>
      <c r="I305" s="21"/>
      <c r="J305" s="21"/>
      <c r="K305" s="76">
        <f t="shared" si="33"/>
        <v>-18.009999999999998</v>
      </c>
      <c r="M305" s="261"/>
      <c r="O305" s="12">
        <f t="shared" si="31"/>
        <v>0</v>
      </c>
      <c r="P305" s="245"/>
      <c r="Q305" s="254"/>
      <c r="Y305" s="12">
        <v>304</v>
      </c>
    </row>
    <row r="306" spans="1:25" ht="12.75" customHeight="1" x14ac:dyDescent="0.2">
      <c r="A306" s="116" t="s">
        <v>714</v>
      </c>
      <c r="B306" s="83"/>
      <c r="C306" s="100" t="str">
        <f>HLOOKUP(Stats!$B$5,Info!$E$2:$DD$57,49,0)</f>
        <v>1/2</v>
      </c>
      <c r="D306" s="100" t="str">
        <f>IF(Stats!$B$6="","",HLOOKUP(Stats!$B$6,Info!$E$2:$DD$57,49,0))</f>
        <v>1/3</v>
      </c>
      <c r="E306" s="153"/>
      <c r="F306" s="153">
        <f>VLOOKUP(E306,Info!$HB$1:$HI$203,2)</f>
        <v>-15</v>
      </c>
      <c r="G306" s="153" t="s">
        <v>715</v>
      </c>
      <c r="H306" s="153">
        <f>Stats!I22+Stats!I20</f>
        <v>-2</v>
      </c>
      <c r="I306" s="171">
        <f>IF(Stats!$M$4="",HLOOKUP(Stats!$B$5,Info!$F$59:$DD$114,Info!$DF$50,0),((HLOOKUP(Stats!$B$5,Info!$F$59:$DD$114,Info!$DF$50,0)+HLOOKUP(Stats!$B$6,Info!$F$59:$DD$114,Info!$DF$50,0))/2-0.01))</f>
        <v>-0.01</v>
      </c>
      <c r="J306" s="153"/>
      <c r="K306" s="171">
        <f>F306+H306+I306+J306</f>
        <v>-17.010000000000002</v>
      </c>
      <c r="M306" s="261"/>
      <c r="O306" s="12">
        <f t="shared" si="31"/>
        <v>0</v>
      </c>
      <c r="P306" s="245"/>
      <c r="Q306" s="254">
        <f>HLOOKUP(Stats!$B$2,Info!$EN$3:$GZ$48,Info!$HA$32,0)</f>
        <v>0</v>
      </c>
      <c r="Y306" s="12">
        <v>305</v>
      </c>
    </row>
    <row r="307" spans="1:25" ht="12.75" customHeight="1" x14ac:dyDescent="0.2">
      <c r="A307" s="59"/>
      <c r="B307" s="138" t="s">
        <v>716</v>
      </c>
      <c r="C307" s="21" t="str">
        <f>HLOOKUP(Stats!$B$5,Info!$E$2:$DD$57,49,0)</f>
        <v>1/2</v>
      </c>
      <c r="D307" s="21" t="str">
        <f>IF(Stats!$B$6="","",HLOOKUP(Stats!$B$6,Info!$E$2:$DD$57,49,0))</f>
        <v>1/3</v>
      </c>
      <c r="E307" s="21"/>
      <c r="F307" s="21">
        <f>VLOOKUP(E307,Info!$HB$1:$HI$203,3)</f>
        <v>-15</v>
      </c>
      <c r="G307" s="21" t="s">
        <v>432</v>
      </c>
      <c r="H307" s="21">
        <f>Stats!$I$17</f>
        <v>4</v>
      </c>
      <c r="I307" s="21"/>
      <c r="J307" s="21"/>
      <c r="K307" s="76">
        <f>F307+H307+I307+J307+$K$306</f>
        <v>-28.01</v>
      </c>
      <c r="M307" s="261"/>
      <c r="O307" s="12">
        <f t="shared" si="31"/>
        <v>0</v>
      </c>
      <c r="P307" s="245"/>
      <c r="Q307" s="254"/>
      <c r="Y307" s="12">
        <v>306</v>
      </c>
    </row>
    <row r="308" spans="1:25" ht="12.75" customHeight="1" x14ac:dyDescent="0.2">
      <c r="A308" s="21"/>
      <c r="B308" s="38" t="s">
        <v>717</v>
      </c>
      <c r="C308" s="21" t="str">
        <f>HLOOKUP(Stats!$B$5,Info!$E$2:$DD$57,49,0)</f>
        <v>1/2</v>
      </c>
      <c r="D308" s="21" t="str">
        <f>IF(Stats!$B$6="","",HLOOKUP(Stats!$B$6,Info!$E$2:$DD$57,49,0))</f>
        <v>1/3</v>
      </c>
      <c r="E308" s="21"/>
      <c r="F308" s="21">
        <f>VLOOKUP(E308,Info!$HB$1:$HI$203,3)</f>
        <v>-15</v>
      </c>
      <c r="G308" s="21" t="s">
        <v>408</v>
      </c>
      <c r="H308" s="21">
        <f>Stats!$I$14</f>
        <v>13</v>
      </c>
      <c r="I308" s="21"/>
      <c r="J308" s="21"/>
      <c r="K308" s="76">
        <f>F308+H308+I308+J308+$K$306</f>
        <v>-19.010000000000002</v>
      </c>
      <c r="M308" s="261"/>
      <c r="O308" s="12">
        <f t="shared" si="31"/>
        <v>0</v>
      </c>
      <c r="P308" s="245"/>
      <c r="Q308" s="254"/>
      <c r="Y308" s="12">
        <v>307</v>
      </c>
    </row>
    <row r="309" spans="1:25" ht="12.75" customHeight="1" x14ac:dyDescent="0.2">
      <c r="A309" s="21"/>
      <c r="B309" s="38" t="s">
        <v>718</v>
      </c>
      <c r="C309" s="21" t="str">
        <f>HLOOKUP(Stats!$B$5,Info!$E$2:$DD$57,49,0)</f>
        <v>1/2</v>
      </c>
      <c r="D309" s="21" t="str">
        <f>IF(Stats!$B$6="","",HLOOKUP(Stats!$B$6,Info!$E$2:$DD$57,49,0))</f>
        <v>1/3</v>
      </c>
      <c r="E309" s="21"/>
      <c r="F309" s="21">
        <f>VLOOKUP(E309,Info!$HB$1:$HI$203,3)</f>
        <v>-15</v>
      </c>
      <c r="G309" s="21" t="s">
        <v>432</v>
      </c>
      <c r="H309" s="21">
        <f>Stats!$I$17</f>
        <v>4</v>
      </c>
      <c r="I309" s="21"/>
      <c r="J309" s="21"/>
      <c r="K309" s="76">
        <f>F309+H309+I309+J309+$K$306</f>
        <v>-28.01</v>
      </c>
      <c r="M309" s="261"/>
      <c r="O309" s="12">
        <f t="shared" si="31"/>
        <v>0</v>
      </c>
      <c r="P309" s="245"/>
      <c r="Q309" s="254"/>
      <c r="Y309" s="12">
        <v>308</v>
      </c>
    </row>
    <row r="310" spans="1:25" ht="12.75" customHeight="1" x14ac:dyDescent="0.2">
      <c r="A310" s="97"/>
      <c r="B310" s="155" t="s">
        <v>719</v>
      </c>
      <c r="C310" s="21" t="str">
        <f>HLOOKUP(Stats!$B$5,Info!$E$2:$DD$57,49,0)</f>
        <v>1/2</v>
      </c>
      <c r="D310" s="21" t="str">
        <f>IF(Stats!$B$6="","",HLOOKUP(Stats!$B$6,Info!$E$2:$DD$57,49,0))</f>
        <v>1/3</v>
      </c>
      <c r="E310" s="21"/>
      <c r="F310" s="21">
        <f>VLOOKUP(E310,Info!$HB$1:$HI$203,3)</f>
        <v>-15</v>
      </c>
      <c r="G310" s="21" t="s">
        <v>481</v>
      </c>
      <c r="H310" s="21">
        <f>Stats!$I$21</f>
        <v>4</v>
      </c>
      <c r="I310" s="21"/>
      <c r="J310" s="21"/>
      <c r="K310" s="76">
        <f>F310+H310+I310+J310+$K$306</f>
        <v>-28.01</v>
      </c>
      <c r="M310" s="261"/>
      <c r="O310" s="12">
        <f t="shared" si="31"/>
        <v>0</v>
      </c>
      <c r="P310" s="245"/>
      <c r="Q310" s="254"/>
      <c r="Y310" s="12">
        <v>309</v>
      </c>
    </row>
    <row r="311" spans="1:25" ht="12.75" customHeight="1" x14ac:dyDescent="0.2">
      <c r="A311" s="116" t="s">
        <v>720</v>
      </c>
      <c r="B311" s="83"/>
      <c r="C311" s="100" t="str">
        <f>HLOOKUP(Stats!$B$5,Info!$E$2:$DD$57,50,0)</f>
        <v>2/7</v>
      </c>
      <c r="D311" s="100" t="str">
        <f>IF(Stats!$B$6="","",HLOOKUP(Stats!$B$6,Info!$E$2:$DD$57,50,0))</f>
        <v>2/5</v>
      </c>
      <c r="E311" s="153"/>
      <c r="F311" s="153">
        <f>VLOOKUP(E311,Info!$HB$1:$HI$203,2)</f>
        <v>-15</v>
      </c>
      <c r="G311" s="153" t="s">
        <v>400</v>
      </c>
      <c r="H311" s="153">
        <f>Stats!$I$18+Stats!$I$14</f>
        <v>8</v>
      </c>
      <c r="I311" s="171">
        <f>IF(Stats!$M$4="",HLOOKUP(Stats!$B$5,Info!$F$59:$DD$114,Info!$DF$51,0),((HLOOKUP(Stats!$B$5,Info!$F$59:$DD$114,Info!$DF$51,0)+HLOOKUP(Stats!$B$6,Info!$F$59:$DD$114,Info!$DF$51,0))/2-0.01))</f>
        <v>12.49</v>
      </c>
      <c r="J311" s="153"/>
      <c r="K311" s="171">
        <f>F311+H311+I311+J311</f>
        <v>5.49</v>
      </c>
      <c r="M311" s="261"/>
      <c r="O311" s="12">
        <f t="shared" si="31"/>
        <v>0</v>
      </c>
      <c r="P311" s="245"/>
      <c r="Q311" s="254">
        <f>HLOOKUP(Stats!$B$2,Info!$EN$3:$GZ$48,Info!$HA$33,0)</f>
        <v>1</v>
      </c>
      <c r="R311" s="3" t="s">
        <v>721</v>
      </c>
      <c r="S311" s="3"/>
      <c r="T311" s="14" t="s">
        <v>722</v>
      </c>
      <c r="Y311" s="12">
        <v>310</v>
      </c>
    </row>
    <row r="312" spans="1:25" ht="12.75" customHeight="1" x14ac:dyDescent="0.2">
      <c r="A312" s="59"/>
      <c r="B312" s="138" t="s">
        <v>723</v>
      </c>
      <c r="C312" s="21" t="str">
        <f>HLOOKUP(Stats!$B$5,Info!$E$2:$DD$57,50,0)</f>
        <v>2/7</v>
      </c>
      <c r="D312" s="21" t="str">
        <f>IF(Stats!$B$6="","",HLOOKUP(Stats!$B$6,Info!$E$2:$DD$57,50,0))</f>
        <v>2/5</v>
      </c>
      <c r="E312" s="21"/>
      <c r="F312" s="21">
        <f>VLOOKUP(E312,Info!$HB$1:$HI$203,3)</f>
        <v>-15</v>
      </c>
      <c r="G312" s="21" t="s">
        <v>403</v>
      </c>
      <c r="H312" s="21">
        <f>Stats!$I$18</f>
        <v>-5</v>
      </c>
      <c r="I312" s="21"/>
      <c r="J312" s="21"/>
      <c r="K312" s="76">
        <f>F312+H312+I312+J312+$K$311+0.000001</f>
        <v>-14.509999000000001</v>
      </c>
      <c r="M312" s="261"/>
      <c r="O312" s="12">
        <f t="shared" si="31"/>
        <v>0</v>
      </c>
      <c r="P312" s="245"/>
      <c r="Q312" s="254">
        <f>HLOOKUP(Stats!$B$2,Info!$EN$3:$GZ$48,Info!$HA$34,0)</f>
        <v>1</v>
      </c>
      <c r="R312" s="2" t="s">
        <v>724</v>
      </c>
      <c r="S312" s="2"/>
      <c r="T312" s="44" t="str">
        <f>HLOOKUP(Stats!$B$2,Info!$EO$162:$GZ$188,2,0)</f>
        <v>Dagger</v>
      </c>
      <c r="Y312" s="12">
        <v>311</v>
      </c>
    </row>
    <row r="313" spans="1:25" ht="12.75" customHeight="1" x14ac:dyDescent="0.2">
      <c r="A313" s="21"/>
      <c r="B313" s="38" t="s">
        <v>723</v>
      </c>
      <c r="C313" s="21" t="str">
        <f>HLOOKUP(Stats!$B$5,Info!$E$2:$DD$57,50,0)</f>
        <v>2/7</v>
      </c>
      <c r="D313" s="21" t="str">
        <f>IF(Stats!$B$6="","",HLOOKUP(Stats!$B$6,Info!$E$2:$DD$57,50,0))</f>
        <v>2/5</v>
      </c>
      <c r="E313" s="21"/>
      <c r="F313" s="21">
        <f>VLOOKUP(E313,Info!$HB$1:$HI$203,3)</f>
        <v>-15</v>
      </c>
      <c r="G313" s="21" t="s">
        <v>403</v>
      </c>
      <c r="H313" s="21">
        <f>Stats!$I$18</f>
        <v>-5</v>
      </c>
      <c r="I313" s="21"/>
      <c r="J313" s="21"/>
      <c r="K313" s="76">
        <f>F313+H313+I313+J313+$K$311+0.000002</f>
        <v>-14.509998</v>
      </c>
      <c r="M313" s="261"/>
      <c r="O313" s="12">
        <f t="shared" ref="O313:O336" si="34">E313+M313</f>
        <v>0</v>
      </c>
      <c r="P313" s="245"/>
      <c r="Q313" s="254"/>
      <c r="R313" s="2"/>
      <c r="S313" s="2"/>
      <c r="T313" s="44" t="str">
        <f>HLOOKUP(Stats!$B$2,Info!$EO$162:$GZ$188,3,0)</f>
        <v>Short Sword</v>
      </c>
      <c r="Y313" s="12">
        <v>312</v>
      </c>
    </row>
    <row r="314" spans="1:25" ht="12.75" customHeight="1" x14ac:dyDescent="0.2">
      <c r="A314" s="97"/>
      <c r="B314" s="155" t="s">
        <v>723</v>
      </c>
      <c r="C314" s="21" t="str">
        <f>HLOOKUP(Stats!$B$5,Info!$E$2:$DD$57,50,0)</f>
        <v>2/7</v>
      </c>
      <c r="D314" s="21" t="str">
        <f>IF(Stats!$B$6="","",HLOOKUP(Stats!$B$6,Info!$E$2:$DD$57,50,0))</f>
        <v>2/5</v>
      </c>
      <c r="E314" s="21"/>
      <c r="F314" s="21">
        <f>VLOOKUP(E314,Info!$HB$1:$HI$203,3)</f>
        <v>-15</v>
      </c>
      <c r="G314" s="21" t="s">
        <v>403</v>
      </c>
      <c r="H314" s="21">
        <f>Stats!$I$18</f>
        <v>-5</v>
      </c>
      <c r="I314" s="21"/>
      <c r="J314" s="21"/>
      <c r="K314" s="76">
        <f>F314+H314+I314+J314+$K$311+0.000003</f>
        <v>-14.509997</v>
      </c>
      <c r="M314" s="261"/>
      <c r="O314" s="12">
        <f t="shared" si="34"/>
        <v>0</v>
      </c>
      <c r="P314" s="245"/>
      <c r="Q314" s="254">
        <f>HLOOKUP(Stats!$B$2,Info!$EN$3:$GZ$48,Info!$HA$35,0)</f>
        <v>1</v>
      </c>
      <c r="R314" s="3" t="s">
        <v>725</v>
      </c>
      <c r="S314" s="3"/>
      <c r="T314" s="44" t="str">
        <f>HLOOKUP(Stats!$B$2,Info!$EO$162:$GZ$188,4,0)</f>
        <v>Club</v>
      </c>
      <c r="Y314" s="12">
        <v>313</v>
      </c>
    </row>
    <row r="315" spans="1:25" ht="12.75" customHeight="1" x14ac:dyDescent="0.2">
      <c r="A315" s="116" t="s">
        <v>726</v>
      </c>
      <c r="B315" s="83"/>
      <c r="C315" s="100" t="str">
        <f>HLOOKUP(Stats!$B$5,Info!$E$2:$DD$57,51,0)</f>
        <v>3/8</v>
      </c>
      <c r="D315" s="100" t="str">
        <f>IF(Stats!$B$6="","",HLOOKUP(Stats!$B$6,Info!$E$2:$DD$57,51,0))</f>
        <v>3/8</v>
      </c>
      <c r="E315" s="153"/>
      <c r="F315" s="153">
        <f>VLOOKUP(E315,Info!$HB$1:$HI$203,2)</f>
        <v>-15</v>
      </c>
      <c r="G315" s="153" t="s">
        <v>400</v>
      </c>
      <c r="H315" s="153">
        <f>Stats!$I$18+Stats!$I$14</f>
        <v>8</v>
      </c>
      <c r="I315" s="171">
        <f>IF(Stats!$M$4="",HLOOKUP(Stats!$B$5,Info!$F$59:$DD$114,Info!$DF$52,0),((HLOOKUP(Stats!$B$5,Info!$F$59:$DD$114,Info!$DF$52,0)+HLOOKUP(Stats!$B$6,Info!$F$59:$DD$114,Info!$DF$52,0))/2-0.01))</f>
        <v>12.49</v>
      </c>
      <c r="J315" s="153"/>
      <c r="K315" s="171">
        <f>F315+H315+I315+J315</f>
        <v>5.49</v>
      </c>
      <c r="M315" s="261"/>
      <c r="O315" s="12">
        <f t="shared" si="34"/>
        <v>0</v>
      </c>
      <c r="P315" s="245"/>
      <c r="Q315" s="254">
        <f>HLOOKUP(Stats!$B$2,Info!$EN$3:$GZ$48,Info!$HA$36,0)</f>
        <v>1</v>
      </c>
      <c r="R315" s="2" t="s">
        <v>727</v>
      </c>
      <c r="S315" s="2"/>
      <c r="T315" s="44" t="str">
        <f>HLOOKUP(Stats!$B$2,Info!$EO$162:$GZ$188,5,0)</f>
        <v>Short Bow</v>
      </c>
      <c r="Y315" s="12">
        <v>314</v>
      </c>
    </row>
    <row r="316" spans="1:25" ht="12.75" customHeight="1" x14ac:dyDescent="0.2">
      <c r="A316" s="59"/>
      <c r="B316" s="138" t="s">
        <v>4098</v>
      </c>
      <c r="C316" s="21" t="str">
        <f>HLOOKUP(Stats!$B$5,Info!$E$2:$DD$57,51,0)</f>
        <v>3/8</v>
      </c>
      <c r="D316" s="21" t="str">
        <f>IF(Stats!$B$6="","",HLOOKUP(Stats!$B$6,Info!$E$2:$DD$57,51,0))</f>
        <v>3/8</v>
      </c>
      <c r="E316" s="21"/>
      <c r="F316" s="21">
        <f>VLOOKUP(E316,Info!$HB$1:$HI$203,3)</f>
        <v>-15</v>
      </c>
      <c r="G316" s="21" t="s">
        <v>403</v>
      </c>
      <c r="H316" s="21">
        <f>Stats!$I$18</f>
        <v>-5</v>
      </c>
      <c r="I316" s="21"/>
      <c r="J316" s="21"/>
      <c r="K316" s="76">
        <f>F316+H316+I316+J316+$K$315+0.00004</f>
        <v>-14.50996</v>
      </c>
      <c r="M316" s="261"/>
      <c r="O316" s="12">
        <f t="shared" si="34"/>
        <v>0</v>
      </c>
      <c r="P316" s="245"/>
      <c r="Q316" s="254"/>
      <c r="R316" s="2"/>
      <c r="S316" s="2"/>
      <c r="T316" s="44" t="str">
        <f>HLOOKUP(Stats!$B$2,Info!$EO$162:$GZ$188,6,0)</f>
        <v>Sling</v>
      </c>
      <c r="Y316" s="12">
        <v>315</v>
      </c>
    </row>
    <row r="317" spans="1:25" ht="12.75" customHeight="1" x14ac:dyDescent="0.2">
      <c r="A317" s="21"/>
      <c r="B317" s="138" t="s">
        <v>4098</v>
      </c>
      <c r="C317" s="21" t="str">
        <f>HLOOKUP(Stats!$B$5,Info!$E$2:$DD$57,51,0)</f>
        <v>3/8</v>
      </c>
      <c r="D317" s="21" t="str">
        <f>IF(Stats!$B$6="","",HLOOKUP(Stats!$B$6,Info!$E$2:$DD$57,51,0))</f>
        <v>3/8</v>
      </c>
      <c r="E317" s="21"/>
      <c r="F317" s="21">
        <f>VLOOKUP(E317,Info!$HB$1:$HI$203,3)</f>
        <v>-15</v>
      </c>
      <c r="G317" s="21" t="s">
        <v>403</v>
      </c>
      <c r="H317" s="21">
        <f>Stats!$I$18</f>
        <v>-5</v>
      </c>
      <c r="I317" s="21"/>
      <c r="J317" s="21"/>
      <c r="K317" s="76">
        <f>F317+H317+I317+J317+$K$315+0.00005</f>
        <v>-14.50995</v>
      </c>
      <c r="M317" s="261"/>
      <c r="O317" s="12">
        <f t="shared" si="34"/>
        <v>0</v>
      </c>
      <c r="P317" s="245"/>
      <c r="Q317" s="254">
        <f>HLOOKUP(Stats!$B$2,Info!$EN$3:$GZ$48,Info!$HA$37,0)</f>
        <v>0</v>
      </c>
      <c r="R317" s="3" t="s">
        <v>728</v>
      </c>
      <c r="S317" s="3"/>
      <c r="T317" s="44">
        <f>HLOOKUP(Stats!$B$2,Info!$EO$162:$GZ$188,7,0)</f>
        <v>0</v>
      </c>
      <c r="Y317" s="12">
        <v>316</v>
      </c>
    </row>
    <row r="318" spans="1:25" ht="12.75" customHeight="1" x14ac:dyDescent="0.2">
      <c r="A318" s="97"/>
      <c r="B318" s="138" t="s">
        <v>4098</v>
      </c>
      <c r="C318" s="21" t="str">
        <f>HLOOKUP(Stats!$B$5,Info!$E$2:$DD$57,51,0)</f>
        <v>3/8</v>
      </c>
      <c r="D318" s="21" t="str">
        <f>IF(Stats!$B$6="","",HLOOKUP(Stats!$B$6,Info!$E$2:$DD$57,51,0))</f>
        <v>3/8</v>
      </c>
      <c r="E318" s="21"/>
      <c r="F318" s="21">
        <f>VLOOKUP(E318,Info!$HB$1:$HI$203,3)</f>
        <v>-15</v>
      </c>
      <c r="G318" s="21" t="s">
        <v>403</v>
      </c>
      <c r="H318" s="21">
        <f>Stats!$I$18</f>
        <v>-5</v>
      </c>
      <c r="I318" s="21"/>
      <c r="J318" s="21"/>
      <c r="K318" s="76">
        <f>F318+H318+I318+J318+$K$315+0.00006</f>
        <v>-14.50994</v>
      </c>
      <c r="M318" s="261"/>
      <c r="O318" s="12">
        <f t="shared" si="34"/>
        <v>0</v>
      </c>
      <c r="P318" s="245"/>
      <c r="Q318" s="254">
        <f>HLOOKUP(Stats!$B$2,Info!$EN$3:$GZ$48,Info!$HA$38,0)</f>
        <v>0</v>
      </c>
      <c r="R318" s="2" t="s">
        <v>729</v>
      </c>
      <c r="S318" s="2"/>
      <c r="T318" s="44">
        <f>HLOOKUP(Stats!$B$2,Info!$EO$162:$GZ$188,8,0)</f>
        <v>0</v>
      </c>
      <c r="Y318" s="12">
        <v>317</v>
      </c>
    </row>
    <row r="319" spans="1:25" ht="12.75" customHeight="1" x14ac:dyDescent="0.2">
      <c r="A319" s="116" t="s">
        <v>730</v>
      </c>
      <c r="B319" s="83"/>
      <c r="C319" s="100" t="str">
        <f>HLOOKUP(Stats!$B$5,Info!$E$2:$DD$57,52,0)</f>
        <v>4</v>
      </c>
      <c r="D319" s="100" t="str">
        <f>IF(Stats!$B$6="","",HLOOKUP(Stats!$B$6,Info!$E$2:$DD$57,52,0))</f>
        <v>3/9</v>
      </c>
      <c r="E319" s="153"/>
      <c r="F319" s="153">
        <f>VLOOKUP(E319,Info!$HB$1:$HI$203,2)</f>
        <v>-15</v>
      </c>
      <c r="G319" s="153" t="s">
        <v>400</v>
      </c>
      <c r="H319" s="153">
        <f>Stats!$I$18+Stats!$I$14</f>
        <v>8</v>
      </c>
      <c r="I319" s="171">
        <f>IF(Stats!$M$4="",HLOOKUP(Stats!$B$5,Info!$F$59:$DD$114,Info!$DF$53,0),((HLOOKUP(Stats!$B$5,Info!$F$59:$DD$114,Info!$DF$53,0)+HLOOKUP(Stats!$B$6,Info!$F$59:$DD$114,Info!$DF$53,0))/2-0.01))</f>
        <v>12.49</v>
      </c>
      <c r="J319" s="153"/>
      <c r="K319" s="171">
        <f>F319+H319+I319+J319</f>
        <v>5.49</v>
      </c>
      <c r="M319" s="261"/>
      <c r="O319" s="12">
        <f t="shared" si="34"/>
        <v>0</v>
      </c>
      <c r="P319" s="245"/>
      <c r="Q319" s="254"/>
      <c r="R319" s="2"/>
      <c r="S319" s="2"/>
      <c r="T319" s="44">
        <f>HLOOKUP(Stats!$B$2,Info!$EO$162:$GZ$188,9,0)</f>
        <v>0</v>
      </c>
      <c r="Y319" s="12">
        <v>318</v>
      </c>
    </row>
    <row r="320" spans="1:25" ht="12.75" customHeight="1" x14ac:dyDescent="0.2">
      <c r="A320" s="59"/>
      <c r="B320" s="138" t="s">
        <v>731</v>
      </c>
      <c r="C320" s="21" t="str">
        <f>HLOOKUP(Stats!$B$5,Info!$E$2:$DD$57,52,0)</f>
        <v>4</v>
      </c>
      <c r="D320" s="21" t="str">
        <f>IF(Stats!$B$6="","",HLOOKUP(Stats!$B$6,Info!$E$2:$DD$57,52,0))</f>
        <v>3/9</v>
      </c>
      <c r="E320" s="21"/>
      <c r="F320" s="21">
        <f>VLOOKUP(E320,Info!$HB$1:$HI$203,3)</f>
        <v>-15</v>
      </c>
      <c r="G320" s="21" t="s">
        <v>403</v>
      </c>
      <c r="H320" s="21">
        <f>Stats!$I$18</f>
        <v>-5</v>
      </c>
      <c r="I320" s="21"/>
      <c r="J320" s="21"/>
      <c r="K320" s="76">
        <f>F320+H320+I320+J320+$K$319+0.00007</f>
        <v>-14.509930000000001</v>
      </c>
      <c r="M320" s="261"/>
      <c r="O320" s="12">
        <f t="shared" si="34"/>
        <v>0</v>
      </c>
      <c r="P320" s="245"/>
      <c r="Q320" s="254">
        <f>HLOOKUP(Stats!$B$2,Info!$EN$3:$GZ$48,Info!$HA$39,0)</f>
        <v>0</v>
      </c>
      <c r="R320" s="3" t="s">
        <v>732</v>
      </c>
      <c r="S320" s="3"/>
      <c r="T320" s="44">
        <f>HLOOKUP(Stats!$B$2,Info!$EO$162:$GZ$188,10,0)</f>
        <v>0</v>
      </c>
      <c r="Y320" s="12">
        <v>319</v>
      </c>
    </row>
    <row r="321" spans="1:25" ht="12.75" customHeight="1" x14ac:dyDescent="0.2">
      <c r="A321" s="21"/>
      <c r="B321" s="38" t="s">
        <v>731</v>
      </c>
      <c r="C321" s="21" t="str">
        <f>HLOOKUP(Stats!$B$5,Info!$E$2:$DD$57,52,0)</f>
        <v>4</v>
      </c>
      <c r="D321" s="21" t="str">
        <f>IF(Stats!$B$6="","",HLOOKUP(Stats!$B$6,Info!$E$2:$DD$57,52,0))</f>
        <v>3/9</v>
      </c>
      <c r="E321" s="21"/>
      <c r="F321" s="21">
        <f>VLOOKUP(E321,Info!$HB$1:$HI$203,3)</f>
        <v>-15</v>
      </c>
      <c r="G321" s="21" t="s">
        <v>403</v>
      </c>
      <c r="H321" s="21">
        <f>Stats!$I$18</f>
        <v>-5</v>
      </c>
      <c r="I321" s="21"/>
      <c r="J321" s="21"/>
      <c r="K321" s="76">
        <f>F321+H321+I321+J321+$K$319+0.00008</f>
        <v>-14.509919999999999</v>
      </c>
      <c r="M321" s="261"/>
      <c r="O321" s="12">
        <f t="shared" si="34"/>
        <v>0</v>
      </c>
      <c r="P321" s="245"/>
      <c r="Q321" s="254">
        <f>HLOOKUP(Stats!$B$2,Info!$EN$3:$GZ$48,Info!$HA$40,0)</f>
        <v>0</v>
      </c>
      <c r="R321" s="2" t="s">
        <v>733</v>
      </c>
      <c r="S321" s="2"/>
      <c r="T321" s="44">
        <f>HLOOKUP(Stats!$B$2,Info!$EO$162:$GZ$188,11,0)</f>
        <v>0</v>
      </c>
      <c r="Y321" s="12">
        <v>320</v>
      </c>
    </row>
    <row r="322" spans="1:25" ht="12.75" customHeight="1" x14ac:dyDescent="0.2">
      <c r="A322" s="97"/>
      <c r="B322" s="155" t="s">
        <v>731</v>
      </c>
      <c r="C322" s="21" t="str">
        <f>HLOOKUP(Stats!$B$5,Info!$E$2:$DD$57,52,0)</f>
        <v>4</v>
      </c>
      <c r="D322" s="21" t="str">
        <f>IF(Stats!$B$6="","",HLOOKUP(Stats!$B$6,Info!$E$2:$DD$57,52,0))</f>
        <v>3/9</v>
      </c>
      <c r="E322" s="21"/>
      <c r="F322" s="21">
        <f>VLOOKUP(E322,Info!$HB$1:$HI$203,3)</f>
        <v>-15</v>
      </c>
      <c r="G322" s="21" t="s">
        <v>403</v>
      </c>
      <c r="H322" s="21">
        <f>Stats!$I$18</f>
        <v>-5</v>
      </c>
      <c r="I322" s="21"/>
      <c r="J322" s="21"/>
      <c r="K322" s="76">
        <f>F322+H322+I322+J322+$K$319+0.00009</f>
        <v>-14.50991</v>
      </c>
      <c r="M322" s="261"/>
      <c r="O322" s="12">
        <f t="shared" si="34"/>
        <v>0</v>
      </c>
      <c r="P322" s="245"/>
      <c r="Q322" s="254"/>
      <c r="R322" s="2"/>
      <c r="S322" s="2"/>
      <c r="T322" s="44">
        <f>HLOOKUP(Stats!$B$2,Info!$EO$162:$GZ$188,12,0)</f>
        <v>0</v>
      </c>
      <c r="Y322" s="12">
        <v>321</v>
      </c>
    </row>
    <row r="323" spans="1:25" ht="12.75" customHeight="1" x14ac:dyDescent="0.2">
      <c r="A323" s="116" t="s">
        <v>734</v>
      </c>
      <c r="B323" s="83"/>
      <c r="C323" s="100" t="str">
        <f>HLOOKUP(Stats!$B$5,Info!$E$2:$DD$57,53,0)</f>
        <v>4</v>
      </c>
      <c r="D323" s="100" t="str">
        <f>IF(Stats!$B$6="","",HLOOKUP(Stats!$B$6,Info!$E$2:$DD$57,53,0))</f>
        <v>3/9</v>
      </c>
      <c r="E323" s="153"/>
      <c r="F323" s="153">
        <f>VLOOKUP(E323,Info!$HB$1:$HI$203,2)</f>
        <v>-15</v>
      </c>
      <c r="G323" s="153" t="s">
        <v>406</v>
      </c>
      <c r="H323" s="153">
        <f>Stats!$I$18+Stats!$I$14</f>
        <v>8</v>
      </c>
      <c r="I323" s="171">
        <f>IF(Stats!$M$4="",HLOOKUP(Stats!$B$5,Info!$F$59:$DD$114,Info!$DF$54,0),((HLOOKUP(Stats!$B$5,Info!$F$59:$DD$114,Info!$DF$54,0)+HLOOKUP(Stats!$B$6,Info!$F$59:$DD$114,Info!$DF$54,0))/2-0.01))</f>
        <v>12.49</v>
      </c>
      <c r="J323" s="153"/>
      <c r="K323" s="171">
        <f>F323+H323+I323+J323</f>
        <v>5.49</v>
      </c>
      <c r="M323" s="261"/>
      <c r="O323" s="12">
        <f t="shared" si="34"/>
        <v>0</v>
      </c>
      <c r="P323" s="245"/>
      <c r="Q323" s="254">
        <f>HLOOKUP(Stats!$B$2,Info!$EN$3:$GZ$48,Info!$HA$41,0)</f>
        <v>0</v>
      </c>
      <c r="R323" s="3" t="s">
        <v>735</v>
      </c>
      <c r="S323" s="3"/>
      <c r="T323" s="44">
        <f>HLOOKUP(Stats!$B$2,Info!$EO$162:$GZ$188,13,0)</f>
        <v>0</v>
      </c>
      <c r="Y323" s="12">
        <v>322</v>
      </c>
    </row>
    <row r="324" spans="1:25" ht="12.75" customHeight="1" x14ac:dyDescent="0.2">
      <c r="A324" s="59"/>
      <c r="B324" s="138" t="s">
        <v>736</v>
      </c>
      <c r="C324" s="21" t="str">
        <f>HLOOKUP(Stats!$B$5,Info!$E$2:$DD$57,53,0)</f>
        <v>4</v>
      </c>
      <c r="D324" s="21" t="str">
        <f>IF(Stats!$B$6="","",HLOOKUP(Stats!$B$6,Info!$E$2:$DD$57,53,0))</f>
        <v>3/9</v>
      </c>
      <c r="E324" s="21"/>
      <c r="F324" s="21">
        <f>VLOOKUP(E324,Info!$HB$1:$HI$203,3)</f>
        <v>-15</v>
      </c>
      <c r="G324" s="21" t="s">
        <v>408</v>
      </c>
      <c r="H324" s="21">
        <f>Stats!$I$14</f>
        <v>13</v>
      </c>
      <c r="I324" s="21"/>
      <c r="J324" s="21"/>
      <c r="K324" s="76">
        <f>F324+H324+I324+J324+$K$323+0.0001</f>
        <v>3.4901000000000004</v>
      </c>
      <c r="M324" s="261"/>
      <c r="O324" s="12">
        <f t="shared" si="34"/>
        <v>0</v>
      </c>
      <c r="P324" s="245"/>
      <c r="Q324" s="254">
        <f>HLOOKUP(Stats!$B$2,Info!$EN$3:$GZ$48,Info!$HA$42,0)</f>
        <v>0</v>
      </c>
      <c r="R324" s="2" t="s">
        <v>737</v>
      </c>
      <c r="S324" s="2"/>
      <c r="T324" s="44">
        <f>HLOOKUP(Stats!$B$2,Info!$EO$162:$GZ$188,14,0)</f>
        <v>0</v>
      </c>
      <c r="Y324" s="12">
        <v>323</v>
      </c>
    </row>
    <row r="325" spans="1:25" ht="12.75" customHeight="1" x14ac:dyDescent="0.2">
      <c r="A325" s="21"/>
      <c r="B325" s="38" t="s">
        <v>736</v>
      </c>
      <c r="C325" s="21" t="str">
        <f>HLOOKUP(Stats!$B$5,Info!$E$2:$DD$57,53,0)</f>
        <v>4</v>
      </c>
      <c r="D325" s="21" t="str">
        <f>IF(Stats!$B$6="","",HLOOKUP(Stats!$B$6,Info!$E$2:$DD$57,53,0))</f>
        <v>3/9</v>
      </c>
      <c r="E325" s="21"/>
      <c r="F325" s="21">
        <f>VLOOKUP(E325,Info!$HB$1:$HI$203,3)</f>
        <v>-15</v>
      </c>
      <c r="G325" s="21" t="s">
        <v>408</v>
      </c>
      <c r="H325" s="21">
        <f>Stats!$I$14</f>
        <v>13</v>
      </c>
      <c r="I325" s="21"/>
      <c r="J325" s="21"/>
      <c r="K325" s="76">
        <f>F325+H325+I325+J325+$K$323+0.00011</f>
        <v>3.49011</v>
      </c>
      <c r="M325" s="261"/>
      <c r="O325" s="12">
        <f t="shared" si="34"/>
        <v>0</v>
      </c>
      <c r="P325" s="245"/>
      <c r="Q325" s="254"/>
      <c r="R325" s="2"/>
      <c r="S325" s="2"/>
      <c r="T325" s="44">
        <f>HLOOKUP(Stats!$B$2,Info!$EO$162:$GZ$188,15,0)</f>
        <v>0</v>
      </c>
      <c r="Y325" s="12">
        <v>324</v>
      </c>
    </row>
    <row r="326" spans="1:25" ht="12.75" customHeight="1" x14ac:dyDescent="0.2">
      <c r="A326" s="97"/>
      <c r="B326" s="155" t="s">
        <v>736</v>
      </c>
      <c r="C326" s="21" t="str">
        <f>HLOOKUP(Stats!$B$5,Info!$E$2:$DD$57,53,0)</f>
        <v>4</v>
      </c>
      <c r="D326" s="21" t="str">
        <f>IF(Stats!$B$6="","",HLOOKUP(Stats!$B$6,Info!$E$2:$DD$57,53,0))</f>
        <v>3/9</v>
      </c>
      <c r="E326" s="21"/>
      <c r="F326" s="21">
        <f>VLOOKUP(E326,Info!$HB$1:$HI$203,3)</f>
        <v>-15</v>
      </c>
      <c r="G326" s="21" t="s">
        <v>408</v>
      </c>
      <c r="H326" s="21">
        <f>Stats!$I$14</f>
        <v>13</v>
      </c>
      <c r="I326" s="21"/>
      <c r="J326" s="21"/>
      <c r="K326" s="76">
        <f>F326+H326+I326+J326+$K$323+0.00012</f>
        <v>3.4901200000000001</v>
      </c>
      <c r="M326" s="261"/>
      <c r="O326" s="12">
        <f t="shared" si="34"/>
        <v>0</v>
      </c>
      <c r="P326" s="245"/>
      <c r="Q326" s="254">
        <f>HLOOKUP(Stats!$B$2,Info!$EN$3:$GZ$48,Info!$HA$43,0)</f>
        <v>0</v>
      </c>
      <c r="R326" s="45" t="s">
        <v>738</v>
      </c>
      <c r="S326" s="45"/>
      <c r="T326" s="44">
        <f>HLOOKUP(Stats!$B$2,Info!$EO$162:$GZ$188,16,0)</f>
        <v>0</v>
      </c>
      <c r="Y326" s="12">
        <v>325</v>
      </c>
    </row>
    <row r="327" spans="1:25" ht="12.75" customHeight="1" x14ac:dyDescent="0.2">
      <c r="A327" s="116" t="s">
        <v>739</v>
      </c>
      <c r="B327" s="83"/>
      <c r="C327" s="100" t="str">
        <f>HLOOKUP(Stats!$B$5,Info!$E$2:$DD$57,54,0)</f>
        <v>4</v>
      </c>
      <c r="D327" s="100" t="str">
        <f>IF(Stats!$B$6="","",HLOOKUP(Stats!$B$6,Info!$E$2:$DD$57,54,0))</f>
        <v>3/9</v>
      </c>
      <c r="E327" s="153"/>
      <c r="F327" s="153">
        <f>VLOOKUP(E327,Info!$HB$1:$HI$203,2)</f>
        <v>-15</v>
      </c>
      <c r="G327" s="153" t="s">
        <v>664</v>
      </c>
      <c r="H327" s="153">
        <f>Stats!I14+Stats!I22</f>
        <v>17</v>
      </c>
      <c r="I327" s="171">
        <f>IF(Stats!$M$4="",HLOOKUP(Stats!$B$5,Info!$F$59:$DD$114,Info!$DF$55,0),((HLOOKUP(Stats!$B$5,Info!$F$59:$DD$114,Info!$DF$55,0)+HLOOKUP(Stats!$B$6,Info!$F$59:$DD$114,Info!$DF$55,0))/2-0.01))</f>
        <v>12.49</v>
      </c>
      <c r="J327" s="153"/>
      <c r="K327" s="171">
        <f>F327+H327+I327+J327</f>
        <v>14.49</v>
      </c>
      <c r="M327" s="261"/>
      <c r="O327" s="12">
        <f t="shared" si="34"/>
        <v>0</v>
      </c>
      <c r="P327" s="245"/>
      <c r="Q327" s="254">
        <f>HLOOKUP(Stats!$B$2,Info!$EN$3:$GZ$48,Info!$HA$44,0)</f>
        <v>0</v>
      </c>
      <c r="R327" s="12" t="s">
        <v>740</v>
      </c>
      <c r="T327" s="44">
        <f>HLOOKUP(Stats!$B$2,Info!$EO$162:$GZ$188,17,0)</f>
        <v>0</v>
      </c>
      <c r="Y327" s="12">
        <v>326</v>
      </c>
    </row>
    <row r="328" spans="1:25" ht="12.75" customHeight="1" x14ac:dyDescent="0.2">
      <c r="A328" s="56"/>
      <c r="B328" s="44" t="s">
        <v>741</v>
      </c>
      <c r="C328" s="21" t="str">
        <f>HLOOKUP(Stats!$B$5,Info!$E$2:$DD$57,54,0)</f>
        <v>4</v>
      </c>
      <c r="D328" s="21" t="str">
        <f>IF(Stats!$B$6="","",HLOOKUP(Stats!$B$6,Info!$E$2:$DD$57,54,0))</f>
        <v>3/9</v>
      </c>
      <c r="E328" s="21"/>
      <c r="F328" s="21">
        <f>VLOOKUP(E328,Info!$HB$1:$HI$203,3)</f>
        <v>-15</v>
      </c>
      <c r="G328" s="21" t="s">
        <v>432</v>
      </c>
      <c r="H328" s="21">
        <f>Stats!$I$17</f>
        <v>4</v>
      </c>
      <c r="I328" s="21"/>
      <c r="J328" s="21"/>
      <c r="K328" s="76">
        <f>F328+H328+I328+J328+$K$327+0.00013</f>
        <v>3.4901300000000002</v>
      </c>
      <c r="M328" s="261"/>
      <c r="O328" s="12">
        <f t="shared" si="34"/>
        <v>0</v>
      </c>
      <c r="P328" s="245"/>
      <c r="Q328" s="254"/>
      <c r="T328" s="44">
        <f>HLOOKUP(Stats!$B$2,Info!$EO$162:$GZ$188,18,0)</f>
        <v>0</v>
      </c>
      <c r="Y328" s="12">
        <v>327</v>
      </c>
    </row>
    <row r="329" spans="1:25" ht="12.75" customHeight="1" x14ac:dyDescent="0.2">
      <c r="A329" s="116" t="s">
        <v>742</v>
      </c>
      <c r="B329" s="83"/>
      <c r="C329" s="100" t="str">
        <f>HLOOKUP(Stats!$B$5,Info!$E$2:$DD$57,55,0)</f>
        <v>6</v>
      </c>
      <c r="D329" s="100" t="str">
        <f>IF(Stats!$B$6="","",HLOOKUP(Stats!$B$6,Info!$E$2:$DD$57,55,0))</f>
        <v>6</v>
      </c>
      <c r="E329" s="153"/>
      <c r="F329" s="153">
        <f>VLOOKUP(E329,Info!$HB$1:$HI$203,2)</f>
        <v>-15</v>
      </c>
      <c r="G329" s="153" t="s">
        <v>400</v>
      </c>
      <c r="H329" s="153">
        <f>Stats!$I$18+Stats!$I$14</f>
        <v>8</v>
      </c>
      <c r="I329" s="171">
        <f>IF(Stats!$M$4="",HLOOKUP(Stats!$B$5,Info!$F$59:$DD$114,Info!$DF$56,0),((HLOOKUP(Stats!$B$5,Info!$F$59:$DD$114,Info!$DF$56,0)+HLOOKUP(Stats!$B$6,Info!$F$59:$DD$114,Info!$DF$56,0))/2-0.01))</f>
        <v>12.49</v>
      </c>
      <c r="J329" s="153"/>
      <c r="K329" s="171">
        <f>F329+H329+I329+J329</f>
        <v>5.49</v>
      </c>
      <c r="M329" s="261"/>
      <c r="O329" s="12">
        <f t="shared" si="34"/>
        <v>0</v>
      </c>
      <c r="P329" s="245"/>
      <c r="Q329" s="254"/>
      <c r="T329" s="44">
        <f>HLOOKUP(Stats!$B$2,Info!$EO$162:$GZ$188,19,0)</f>
        <v>0</v>
      </c>
      <c r="Y329" s="12">
        <v>328</v>
      </c>
    </row>
    <row r="330" spans="1:25" ht="12.75" customHeight="1" x14ac:dyDescent="0.2">
      <c r="A330" s="59"/>
      <c r="B330" s="138" t="s">
        <v>743</v>
      </c>
      <c r="C330" s="21" t="str">
        <f>HLOOKUP(Stats!$B$5,Info!$E$2:$DD$57,55,0)</f>
        <v>6</v>
      </c>
      <c r="D330" s="21" t="str">
        <f>IF(Stats!$B$6="","",HLOOKUP(Stats!$B$6,Info!$E$2:$DD$57,55,0))</f>
        <v>6</v>
      </c>
      <c r="E330" s="21"/>
      <c r="F330" s="21">
        <f>VLOOKUP(E330,Info!$HB$1:$HI$203,3)</f>
        <v>-15</v>
      </c>
      <c r="G330" s="21" t="s">
        <v>403</v>
      </c>
      <c r="H330" s="21">
        <f>Stats!$I$18</f>
        <v>-5</v>
      </c>
      <c r="I330" s="21"/>
      <c r="J330" s="21"/>
      <c r="K330" s="76">
        <f>F330+H330+I330+J330+$K$329+0.00014</f>
        <v>-14.50986</v>
      </c>
      <c r="M330" s="261"/>
      <c r="O330" s="12">
        <f t="shared" si="34"/>
        <v>0</v>
      </c>
      <c r="P330" s="245"/>
      <c r="Q330" s="254"/>
      <c r="T330" s="44">
        <f>HLOOKUP(Stats!$B$2,Info!$EO$162:$GZ$188,20,0)</f>
        <v>0</v>
      </c>
      <c r="Y330" s="12">
        <v>329</v>
      </c>
    </row>
    <row r="331" spans="1:25" ht="12.75" customHeight="1" x14ac:dyDescent="0.2">
      <c r="A331" s="21"/>
      <c r="B331" s="38" t="s">
        <v>743</v>
      </c>
      <c r="C331" s="21" t="str">
        <f>HLOOKUP(Stats!$B$5,Info!$E$2:$DD$57,55,0)</f>
        <v>6</v>
      </c>
      <c r="D331" s="21" t="str">
        <f>IF(Stats!$B$6="","",HLOOKUP(Stats!$B$6,Info!$E$2:$DD$57,55,0))</f>
        <v>6</v>
      </c>
      <c r="E331" s="21"/>
      <c r="F331" s="21">
        <f>VLOOKUP(E331,Info!$HB$1:$HI$203,3)</f>
        <v>-15</v>
      </c>
      <c r="G331" s="21" t="s">
        <v>403</v>
      </c>
      <c r="H331" s="21">
        <f>Stats!$I$18</f>
        <v>-5</v>
      </c>
      <c r="I331" s="21"/>
      <c r="J331" s="21"/>
      <c r="K331" s="76">
        <f>F331+H331+I331+J331+$K$329+0.00015</f>
        <v>-14.50985</v>
      </c>
      <c r="M331" s="261"/>
      <c r="O331" s="12">
        <f t="shared" si="34"/>
        <v>0</v>
      </c>
      <c r="P331" s="245"/>
      <c r="Q331" s="254"/>
      <c r="T331" s="44">
        <f>HLOOKUP(Stats!$B$2,Info!$EO$162:$GZ$188,21,0)</f>
        <v>0</v>
      </c>
      <c r="Y331" s="12">
        <v>330</v>
      </c>
    </row>
    <row r="332" spans="1:25" ht="12.75" customHeight="1" x14ac:dyDescent="0.2">
      <c r="A332" s="97"/>
      <c r="B332" s="155" t="s">
        <v>743</v>
      </c>
      <c r="C332" s="21" t="str">
        <f>HLOOKUP(Stats!$B$5,Info!$E$2:$DD$57,55,0)</f>
        <v>6</v>
      </c>
      <c r="D332" s="21" t="str">
        <f>IF(Stats!$B$6="","",HLOOKUP(Stats!$B$6,Info!$E$2:$DD$57,55,0))</f>
        <v>6</v>
      </c>
      <c r="E332" s="21"/>
      <c r="F332" s="21">
        <f>VLOOKUP(E332,Info!$HB$1:$HI$203,3)</f>
        <v>-15</v>
      </c>
      <c r="G332" s="21" t="s">
        <v>403</v>
      </c>
      <c r="H332" s="21">
        <f>Stats!$I$18</f>
        <v>-5</v>
      </c>
      <c r="I332" s="21"/>
      <c r="J332" s="21"/>
      <c r="K332" s="76">
        <f>F332+H332+I332+J332+$K$329+0.00016</f>
        <v>-14.509840000000001</v>
      </c>
      <c r="M332" s="261"/>
      <c r="O332" s="12">
        <f t="shared" si="34"/>
        <v>0</v>
      </c>
      <c r="P332" s="245"/>
      <c r="Q332" s="254"/>
      <c r="T332" s="44">
        <f>HLOOKUP(Stats!$B$2,Info!$EO$162:$GZ$188,22,0)</f>
        <v>0</v>
      </c>
      <c r="Y332" s="12">
        <v>331</v>
      </c>
    </row>
    <row r="333" spans="1:25" ht="12.75" customHeight="1" x14ac:dyDescent="0.2">
      <c r="A333" s="116" t="s">
        <v>744</v>
      </c>
      <c r="B333" s="83"/>
      <c r="C333" s="100" t="str">
        <f>HLOOKUP(Stats!$B$5,Info!$E$2:$DD$57,56,0)</f>
        <v>6</v>
      </c>
      <c r="D333" s="100" t="str">
        <f>IF(Stats!$B$6="","",HLOOKUP(Stats!$B$6,Info!$E$2:$DD$57,56,0))</f>
        <v>6</v>
      </c>
      <c r="E333" s="153"/>
      <c r="F333" s="153">
        <f>VLOOKUP(E333,Info!$HB$1:$HI$203,2)</f>
        <v>-15</v>
      </c>
      <c r="G333" s="153" t="s">
        <v>406</v>
      </c>
      <c r="H333" s="153">
        <f>Stats!$I$18+Stats!$I$14</f>
        <v>8</v>
      </c>
      <c r="I333" s="171">
        <f>IF(Stats!$M$4="",HLOOKUP(Stats!$B$5,Info!$F$59:$DD$114,Info!$DF$57,0),((HLOOKUP(Stats!$B$5,Info!$F$59:$DD$114,Info!$DF$57,0)+HLOOKUP(Stats!$B$6,Info!$F$59:$DD$114,Info!$DF$57,0))/2-0.01))</f>
        <v>12.49</v>
      </c>
      <c r="J333" s="153"/>
      <c r="K333" s="171">
        <f>F333+H333+I333+J333</f>
        <v>5.49</v>
      </c>
      <c r="M333" s="261"/>
      <c r="O333" s="12">
        <f t="shared" si="34"/>
        <v>0</v>
      </c>
      <c r="P333" s="245"/>
      <c r="Q333" s="254"/>
      <c r="T333" s="44">
        <f>HLOOKUP(Stats!$B$2,Info!$EO$162:$GZ$188,23,0)</f>
        <v>0</v>
      </c>
      <c r="Y333" s="12">
        <v>332</v>
      </c>
    </row>
    <row r="334" spans="1:25" ht="12.75" customHeight="1" x14ac:dyDescent="0.2">
      <c r="A334" s="59"/>
      <c r="B334" s="138" t="s">
        <v>745</v>
      </c>
      <c r="C334" s="21" t="str">
        <f>HLOOKUP(Stats!$B$5,Info!$E$2:$DD$57,56,0)</f>
        <v>6</v>
      </c>
      <c r="D334" s="21" t="str">
        <f>IF(Stats!$B$6="","",HLOOKUP(Stats!$B$6,Info!$E$2:$DD$57,56,0))</f>
        <v>6</v>
      </c>
      <c r="E334" s="21"/>
      <c r="F334" s="21">
        <f>VLOOKUP(E334,Info!$HB$1:$HI$203,3)</f>
        <v>-15</v>
      </c>
      <c r="G334" s="21" t="s">
        <v>408</v>
      </c>
      <c r="H334" s="21">
        <f>Stats!$I$14</f>
        <v>13</v>
      </c>
      <c r="I334" s="21"/>
      <c r="J334" s="21"/>
      <c r="K334" s="76">
        <f>F334+H334+I334+J334+$K$333+0.00017</f>
        <v>3.49017</v>
      </c>
      <c r="M334" s="261"/>
      <c r="O334" s="12">
        <f t="shared" si="34"/>
        <v>0</v>
      </c>
      <c r="P334" s="245"/>
      <c r="Q334" s="254"/>
      <c r="T334" s="44">
        <f>HLOOKUP(Stats!$B$2,Info!$EO$162:$GZ$188,24,0)</f>
        <v>0</v>
      </c>
      <c r="Y334" s="12">
        <v>333</v>
      </c>
    </row>
    <row r="335" spans="1:25" ht="12.75" customHeight="1" x14ac:dyDescent="0.2">
      <c r="A335" s="97"/>
      <c r="B335" s="155" t="s">
        <v>745</v>
      </c>
      <c r="C335" s="21" t="str">
        <f>HLOOKUP(Stats!$B$5,Info!$E$2:$DD$57,56,0)</f>
        <v>6</v>
      </c>
      <c r="D335" s="21" t="str">
        <f>IF(Stats!$B$6="","",HLOOKUP(Stats!$B$6,Info!$E$2:$DD$57,56,0))</f>
        <v>6</v>
      </c>
      <c r="E335" s="21"/>
      <c r="F335" s="21">
        <f>VLOOKUP(E335,Info!$HB$1:$HI$203,3)</f>
        <v>-15</v>
      </c>
      <c r="G335" s="21" t="s">
        <v>408</v>
      </c>
      <c r="H335" s="21">
        <f>Stats!$I$14</f>
        <v>13</v>
      </c>
      <c r="I335" s="21"/>
      <c r="J335" s="21"/>
      <c r="K335" s="76">
        <f>F335+H335+I335+J335+$K$333+0.00018</f>
        <v>3.4901800000000001</v>
      </c>
      <c r="M335" s="261"/>
      <c r="O335" s="12">
        <f t="shared" si="34"/>
        <v>0</v>
      </c>
      <c r="P335" s="245"/>
      <c r="Q335" s="254"/>
      <c r="T335" s="44">
        <f>HLOOKUP(Stats!$B$2,Info!$EO$162:$GZ$188,25,0)</f>
        <v>0</v>
      </c>
      <c r="Y335" s="12">
        <v>334</v>
      </c>
    </row>
    <row r="336" spans="1:25" ht="12.75" customHeight="1" x14ac:dyDescent="0.2">
      <c r="A336" s="274"/>
      <c r="B336" s="240" t="s">
        <v>745</v>
      </c>
      <c r="C336" s="131" t="str">
        <f>HLOOKUP(Stats!$B$5,Info!$E$2:$DD$57,56,0)</f>
        <v>6</v>
      </c>
      <c r="D336" s="21" t="str">
        <f>IF(Stats!$B$6="","",HLOOKUP(Stats!$B$6,Info!$E$2:$DD$57,56,0))</f>
        <v>6</v>
      </c>
      <c r="E336" s="21"/>
      <c r="F336" s="21">
        <f>VLOOKUP(E336,Info!$HB$1:$HI$203,3)</f>
        <v>-15</v>
      </c>
      <c r="G336" s="21" t="s">
        <v>408</v>
      </c>
      <c r="H336" s="21">
        <f>Stats!$I$14</f>
        <v>13</v>
      </c>
      <c r="I336" s="21"/>
      <c r="J336" s="21"/>
      <c r="K336" s="76">
        <f>F336+H336+I336+J336+$K$333+0.00019</f>
        <v>3.4901900000000001</v>
      </c>
      <c r="M336" s="261"/>
      <c r="O336" s="12">
        <f t="shared" si="34"/>
        <v>0</v>
      </c>
      <c r="P336" s="245"/>
      <c r="Q336" s="254"/>
      <c r="T336" s="138">
        <f>HLOOKUP(Stats!$B$2,Info!$EO$162:$GZ$188,26,0)</f>
        <v>0</v>
      </c>
      <c r="Y336" s="12">
        <v>335</v>
      </c>
    </row>
    <row r="337" spans="1:25" ht="12.75" customHeight="1" x14ac:dyDescent="0.2">
      <c r="A337" s="311" t="s">
        <v>385</v>
      </c>
      <c r="B337" s="311"/>
      <c r="C337" s="17" t="s">
        <v>4130</v>
      </c>
      <c r="D337" s="17" t="s">
        <v>4131</v>
      </c>
      <c r="E337" s="17" t="s">
        <v>386</v>
      </c>
      <c r="F337" s="17" t="s">
        <v>387</v>
      </c>
      <c r="G337" s="17" t="s">
        <v>388</v>
      </c>
      <c r="H337" s="147" t="s">
        <v>389</v>
      </c>
      <c r="I337" s="17" t="s">
        <v>390</v>
      </c>
      <c r="J337" s="148" t="s">
        <v>207</v>
      </c>
      <c r="K337" s="148" t="s">
        <v>209</v>
      </c>
      <c r="M337" s="261"/>
      <c r="O337" s="12" t="s">
        <v>386</v>
      </c>
      <c r="P337" s="245"/>
      <c r="Q337" s="254"/>
      <c r="R337" s="33"/>
      <c r="S337" s="33"/>
      <c r="T337" s="33"/>
      <c r="Y337" s="12">
        <v>336</v>
      </c>
    </row>
    <row r="338" spans="1:25" ht="12.75" customHeight="1" x14ac:dyDescent="0.2">
      <c r="A338" s="116" t="s">
        <v>753</v>
      </c>
      <c r="B338" s="83"/>
      <c r="C338" s="100"/>
      <c r="D338" s="100"/>
      <c r="E338" s="153"/>
      <c r="F338" s="153"/>
      <c r="G338" s="153" t="str">
        <f>Stats!$C$39</f>
        <v>???</v>
      </c>
      <c r="H338" s="171" t="str">
        <f>VLOOKUP(Stats!$C$39,Info!$E$120:$F$127,2,0)</f>
        <v>Realm Stat Bonus</v>
      </c>
      <c r="I338" s="171">
        <f>IF(Stats!$M$4="",HLOOKUP(Stats!$B$5,Info!$F$59:$DD$114,Info!$DF$43,0),((HLOOKUP(Stats!$B$5,Info!$F$59:$DD$114,Info!$DF$43,0)+HLOOKUP(Stats!$B$6,Info!$F$59:$DD$114,Info!$DF$43,0))/2-0.01))</f>
        <v>-0.01</v>
      </c>
      <c r="J338" s="153"/>
      <c r="K338" s="171" t="e">
        <f>F338+H338+I338+J338</f>
        <v>#VALUE!</v>
      </c>
      <c r="M338" s="261"/>
      <c r="O338" s="12">
        <f t="shared" ref="O338:O373" si="35">E338+M338</f>
        <v>0</v>
      </c>
      <c r="P338" s="245"/>
      <c r="Q338" s="254"/>
      <c r="Y338" s="12">
        <v>337</v>
      </c>
    </row>
    <row r="339" spans="1:25" ht="12.75" customHeight="1" x14ac:dyDescent="0.2">
      <c r="A339" s="59"/>
      <c r="B339" s="167" t="str">
        <f>HLOOKUP(Stats!$B$5,Info!$F$129:$DD$135,Info!$DF$130,0)</f>
        <v>Base List</v>
      </c>
      <c r="C339" s="21" t="str">
        <f>HLOOKUP(Stats!$B$5,Info!$E$2:$DD$57,42,0)</f>
        <v>N/A</v>
      </c>
      <c r="D339" s="21" t="str">
        <f>IF(Stats!$B$6="","",HLOOKUP(Stats!$B$6,Info!$E$2:$DD$57,42,0))</f>
        <v>N/A</v>
      </c>
      <c r="E339" s="21"/>
      <c r="F339" s="21">
        <f>VLOOKUP(E339,Info!$HB$1:$HI$203,4)</f>
        <v>0</v>
      </c>
      <c r="G339" s="21"/>
      <c r="H339" s="21"/>
      <c r="I339" s="21"/>
      <c r="J339" s="21"/>
      <c r="K339" s="76" t="e">
        <f t="shared" ref="K339:K373" si="36">F339+H339+I339+J339+$K$338</f>
        <v>#VALUE!</v>
      </c>
      <c r="M339" s="261"/>
      <c r="O339" s="12">
        <f t="shared" si="35"/>
        <v>0</v>
      </c>
      <c r="P339" s="245"/>
      <c r="Q339" s="254"/>
      <c r="Y339" s="12">
        <v>338</v>
      </c>
    </row>
    <row r="340" spans="1:25" ht="12.75" customHeight="1" x14ac:dyDescent="0.2">
      <c r="A340" s="21"/>
      <c r="B340" s="20" t="str">
        <f>HLOOKUP(Stats!$B$5,Info!$F$129:$DD$135,Info!$DF$131,0)</f>
        <v>Base List</v>
      </c>
      <c r="C340" s="21" t="str">
        <f>HLOOKUP(Stats!$B$5,Info!$E$2:$DD$57,42,0)</f>
        <v>N/A</v>
      </c>
      <c r="D340" s="21" t="str">
        <f>IF(Stats!$B$6="","",HLOOKUP(Stats!$B$6,Info!$E$2:$DD$57,42,0))</f>
        <v>N/A</v>
      </c>
      <c r="E340" s="21"/>
      <c r="F340" s="21">
        <f>VLOOKUP(E340,Info!$HB$1:$HI$203,4)</f>
        <v>0</v>
      </c>
      <c r="G340" s="21"/>
      <c r="H340" s="21"/>
      <c r="I340" s="21"/>
      <c r="J340" s="21"/>
      <c r="K340" s="76" t="e">
        <f t="shared" si="36"/>
        <v>#VALUE!</v>
      </c>
      <c r="M340" s="261"/>
      <c r="O340" s="12">
        <f t="shared" si="35"/>
        <v>0</v>
      </c>
      <c r="P340" s="245"/>
      <c r="Q340" s="254"/>
      <c r="Y340" s="12">
        <v>339</v>
      </c>
    </row>
    <row r="341" spans="1:25" ht="12.75" customHeight="1" x14ac:dyDescent="0.2">
      <c r="A341" s="21"/>
      <c r="B341" s="20" t="str">
        <f>HLOOKUP(Stats!$B$5,Info!$F$129:$DD$135,Info!$DF$132,0)</f>
        <v>Base List</v>
      </c>
      <c r="C341" s="21" t="str">
        <f>HLOOKUP(Stats!$B$5,Info!$E$2:$DD$57,42,0)</f>
        <v>N/A</v>
      </c>
      <c r="D341" s="21" t="str">
        <f>IF(Stats!$B$6="","",HLOOKUP(Stats!$B$6,Info!$E$2:$DD$57,42,0))</f>
        <v>N/A</v>
      </c>
      <c r="E341" s="21"/>
      <c r="F341" s="21">
        <f>VLOOKUP(E341,Info!$HB$1:$HI$203,4)</f>
        <v>0</v>
      </c>
      <c r="G341" s="21"/>
      <c r="H341" s="21"/>
      <c r="I341" s="21"/>
      <c r="J341" s="21"/>
      <c r="K341" s="76" t="e">
        <f t="shared" si="36"/>
        <v>#VALUE!</v>
      </c>
      <c r="M341" s="261"/>
      <c r="O341" s="12">
        <f t="shared" si="35"/>
        <v>0</v>
      </c>
      <c r="P341" s="245"/>
      <c r="Q341" s="254"/>
      <c r="Y341" s="12">
        <v>340</v>
      </c>
    </row>
    <row r="342" spans="1:25" ht="12.75" customHeight="1" x14ac:dyDescent="0.2">
      <c r="A342" s="21"/>
      <c r="B342" s="20" t="str">
        <f>HLOOKUP(Stats!$B$5,Info!$F$129:$DD$135,Info!$DF$133,0)</f>
        <v>Base List</v>
      </c>
      <c r="C342" s="21" t="str">
        <f>HLOOKUP(Stats!$B$5,Info!$E$2:$DD$57,42,0)</f>
        <v>N/A</v>
      </c>
      <c r="D342" s="21" t="str">
        <f>IF(Stats!$B$6="","",HLOOKUP(Stats!$B$6,Info!$E$2:$DD$57,42,0))</f>
        <v>N/A</v>
      </c>
      <c r="E342" s="21"/>
      <c r="F342" s="21">
        <f>VLOOKUP(E342,Info!$HB$1:$HI$203,4)</f>
        <v>0</v>
      </c>
      <c r="G342" s="21"/>
      <c r="H342" s="21"/>
      <c r="I342" s="21"/>
      <c r="J342" s="21"/>
      <c r="K342" s="76" t="e">
        <f t="shared" si="36"/>
        <v>#VALUE!</v>
      </c>
      <c r="M342" s="261"/>
      <c r="O342" s="12">
        <f t="shared" si="35"/>
        <v>0</v>
      </c>
      <c r="P342" s="245"/>
      <c r="Q342" s="254"/>
      <c r="Y342" s="12">
        <v>341</v>
      </c>
    </row>
    <row r="343" spans="1:25" ht="12.75" customHeight="1" x14ac:dyDescent="0.2">
      <c r="A343" s="21"/>
      <c r="B343" s="20" t="str">
        <f>HLOOKUP(Stats!$B$5,Info!$F$129:$DD$135,Info!$DF$134,0)</f>
        <v>Base List</v>
      </c>
      <c r="C343" s="21" t="str">
        <f>HLOOKUP(Stats!$B$5,Info!$E$2:$DD$57,42,0)</f>
        <v>N/A</v>
      </c>
      <c r="D343" s="21" t="str">
        <f>IF(Stats!$B$6="","",HLOOKUP(Stats!$B$6,Info!$E$2:$DD$57,42,0))</f>
        <v>N/A</v>
      </c>
      <c r="E343" s="21"/>
      <c r="F343" s="21">
        <f>VLOOKUP(E343,Info!$HB$1:$HI$203,4)</f>
        <v>0</v>
      </c>
      <c r="G343" s="21"/>
      <c r="H343" s="21"/>
      <c r="I343" s="38"/>
      <c r="J343" s="38"/>
      <c r="K343" s="76" t="e">
        <f t="shared" si="36"/>
        <v>#VALUE!</v>
      </c>
      <c r="M343" s="261"/>
      <c r="O343" s="12">
        <f t="shared" si="35"/>
        <v>0</v>
      </c>
      <c r="P343" s="245"/>
      <c r="Q343" s="254"/>
      <c r="Y343" s="12">
        <v>342</v>
      </c>
    </row>
    <row r="344" spans="1:25" ht="12.75" customHeight="1" x14ac:dyDescent="0.2">
      <c r="A344" s="21"/>
      <c r="B344" s="20" t="str">
        <f>HLOOKUP(Stats!$B$5,Info!$F$129:$DD$135,Info!$DF$135,0)</f>
        <v>Base List</v>
      </c>
      <c r="C344" s="21" t="str">
        <f>HLOOKUP(Stats!$B$5,Info!$E$2:$DD$57,42,0)</f>
        <v>N/A</v>
      </c>
      <c r="D344" s="21" t="str">
        <f>IF(Stats!$B$6="","",HLOOKUP(Stats!$B$6,Info!$E$2:$DD$57,42,0))</f>
        <v>N/A</v>
      </c>
      <c r="E344" s="21"/>
      <c r="F344" s="21">
        <f>VLOOKUP(E344,Info!$HB$1:$HI$203,4)</f>
        <v>0</v>
      </c>
      <c r="G344" s="21"/>
      <c r="H344" s="21"/>
      <c r="I344" s="21"/>
      <c r="J344" s="21"/>
      <c r="K344" s="76" t="e">
        <f t="shared" si="36"/>
        <v>#VALUE!</v>
      </c>
      <c r="M344" s="261"/>
      <c r="O344" s="12">
        <f t="shared" si="35"/>
        <v>0</v>
      </c>
      <c r="P344" s="245"/>
      <c r="Q344" s="254"/>
      <c r="Y344" s="12">
        <v>343</v>
      </c>
    </row>
    <row r="345" spans="1:25" ht="12.75" customHeight="1" x14ac:dyDescent="0.2">
      <c r="A345" s="21"/>
      <c r="B345" s="38" t="s">
        <v>533</v>
      </c>
      <c r="C345" s="21" t="str">
        <f>HLOOKUP(Stats!$B$5,Info!$E$2:$DD$57,42,0)</f>
        <v>N/A</v>
      </c>
      <c r="D345" s="21" t="str">
        <f>IF(Stats!$B$6="","",HLOOKUP(Stats!$B$6,Info!$E$2:$DD$57,42,0))</f>
        <v>N/A</v>
      </c>
      <c r="E345" s="21"/>
      <c r="F345" s="21">
        <f>VLOOKUP(E345,Info!$HB$1:$HI$203,4)</f>
        <v>0</v>
      </c>
      <c r="G345" s="21"/>
      <c r="H345" s="21"/>
      <c r="I345" s="21"/>
      <c r="J345" s="21"/>
      <c r="K345" s="76" t="e">
        <f t="shared" si="36"/>
        <v>#VALUE!</v>
      </c>
      <c r="M345" s="261"/>
      <c r="O345" s="12">
        <f t="shared" si="35"/>
        <v>0</v>
      </c>
      <c r="P345" s="245"/>
      <c r="Q345" s="254"/>
      <c r="Y345" s="12">
        <v>344</v>
      </c>
    </row>
    <row r="346" spans="1:25" ht="12.75" customHeight="1" x14ac:dyDescent="0.2">
      <c r="A346" s="21"/>
      <c r="B346" s="38" t="s">
        <v>533</v>
      </c>
      <c r="C346" s="21" t="str">
        <f>HLOOKUP(Stats!$B$5,Info!$E$2:$DD$57,42,0)</f>
        <v>N/A</v>
      </c>
      <c r="D346" s="21" t="str">
        <f>IF(Stats!$B$6="","",HLOOKUP(Stats!$B$6,Info!$E$2:$DD$57,42,0))</f>
        <v>N/A</v>
      </c>
      <c r="E346" s="21"/>
      <c r="F346" s="21">
        <f>VLOOKUP(E346,Info!$HB$1:$HI$203,4)</f>
        <v>0</v>
      </c>
      <c r="G346" s="21"/>
      <c r="H346" s="21"/>
      <c r="I346" s="21"/>
      <c r="J346" s="21"/>
      <c r="K346" s="76" t="e">
        <f t="shared" si="36"/>
        <v>#VALUE!</v>
      </c>
      <c r="M346" s="261"/>
      <c r="O346" s="12">
        <f t="shared" si="35"/>
        <v>0</v>
      </c>
      <c r="P346" s="245"/>
      <c r="Q346" s="254"/>
      <c r="Y346" s="12">
        <v>345</v>
      </c>
    </row>
    <row r="347" spans="1:25" ht="12.75" customHeight="1" x14ac:dyDescent="0.2">
      <c r="A347" s="21"/>
      <c r="B347" s="38" t="s">
        <v>533</v>
      </c>
      <c r="C347" s="21" t="str">
        <f>HLOOKUP(Stats!$B$5,Info!$E$2:$DD$57,42,0)</f>
        <v>N/A</v>
      </c>
      <c r="D347" s="21" t="str">
        <f>IF(Stats!$B$6="","",HLOOKUP(Stats!$B$6,Info!$E$2:$DD$57,42,0))</f>
        <v>N/A</v>
      </c>
      <c r="E347" s="21"/>
      <c r="F347" s="21">
        <f>VLOOKUP(E347,Info!$HB$1:$HI$203,4)</f>
        <v>0</v>
      </c>
      <c r="G347" s="21"/>
      <c r="H347" s="21"/>
      <c r="I347" s="21"/>
      <c r="J347" s="21"/>
      <c r="K347" s="76" t="e">
        <f t="shared" si="36"/>
        <v>#VALUE!</v>
      </c>
      <c r="M347" s="261"/>
      <c r="O347" s="12">
        <f t="shared" si="35"/>
        <v>0</v>
      </c>
      <c r="P347" s="245"/>
      <c r="Q347" s="254"/>
      <c r="Y347" s="12">
        <v>346</v>
      </c>
    </row>
    <row r="348" spans="1:25" ht="12.75" customHeight="1" x14ac:dyDescent="0.2">
      <c r="A348" s="97"/>
      <c r="B348" s="155" t="s">
        <v>533</v>
      </c>
      <c r="C348" s="21" t="str">
        <f>HLOOKUP(Stats!$B$5,Info!$E$2:$DD$57,42,0)</f>
        <v>N/A</v>
      </c>
      <c r="D348" s="21" t="str">
        <f>IF(Stats!$B$6="","",HLOOKUP(Stats!$B$6,Info!$E$2:$DD$57,42,0))</f>
        <v>N/A</v>
      </c>
      <c r="E348" s="21"/>
      <c r="F348" s="21">
        <f>VLOOKUP(E348,Info!$HB$1:$HI$203,4)</f>
        <v>0</v>
      </c>
      <c r="G348" s="21"/>
      <c r="H348" s="21"/>
      <c r="I348" s="21"/>
      <c r="J348" s="21"/>
      <c r="K348" s="76" t="e">
        <f t="shared" si="36"/>
        <v>#VALUE!</v>
      </c>
      <c r="M348" s="261"/>
      <c r="O348" s="12">
        <f t="shared" si="35"/>
        <v>0</v>
      </c>
      <c r="P348" s="245"/>
      <c r="Q348" s="254"/>
      <c r="Y348" s="12">
        <v>347</v>
      </c>
    </row>
    <row r="349" spans="1:25" ht="12.75" customHeight="1" x14ac:dyDescent="0.2">
      <c r="A349" s="116" t="s">
        <v>754</v>
      </c>
      <c r="B349" s="83"/>
      <c r="C349" s="100"/>
      <c r="D349" s="100"/>
      <c r="E349" s="153"/>
      <c r="F349" s="153"/>
      <c r="G349" s="153" t="str">
        <f>Stats!$C$39</f>
        <v>???</v>
      </c>
      <c r="H349" s="171" t="str">
        <f>VLOOKUP(Stats!$C$39,Info!$E$120:$F$127,2,0)</f>
        <v>Realm Stat Bonus</v>
      </c>
      <c r="I349" s="171">
        <f>IF(Stats!$M$4="",HLOOKUP(Stats!$B$5,Info!$F$59:$DD$114,Info!$DF$42,0),((HLOOKUP(Stats!$B$5,Info!$F$59:$DD$114,Info!$DF$42,0)+HLOOKUP(Stats!$B$6,Info!$F$59:$DD$114,Info!$DF$42,0))/2-0.01))</f>
        <v>-0.01</v>
      </c>
      <c r="J349" s="153"/>
      <c r="K349" s="171" t="e">
        <f>F349+H349+I349+J349</f>
        <v>#VALUE!</v>
      </c>
      <c r="M349" s="261"/>
      <c r="O349" s="12">
        <f t="shared" si="35"/>
        <v>0</v>
      </c>
      <c r="P349" s="245"/>
      <c r="Q349" s="254"/>
      <c r="Y349" s="12">
        <v>348</v>
      </c>
    </row>
    <row r="350" spans="1:25" ht="12.75" customHeight="1" x14ac:dyDescent="0.2">
      <c r="A350" s="59"/>
      <c r="B350" s="138" t="s">
        <v>4117</v>
      </c>
      <c r="C350" s="21" t="str">
        <f>HLOOKUP(Stats!$B$5,Info!$E$2:$DD$57,41,0)</f>
        <v>70*</v>
      </c>
      <c r="D350" s="21" t="str">
        <f>IF(Stats!$B$6="","",HLOOKUP(Stats!$B$6,Info!$E$2:$DD$57,41,0))</f>
        <v>50*</v>
      </c>
      <c r="E350" s="21"/>
      <c r="F350" s="21">
        <f>VLOOKUP(E350,Info!$HB$1:$HI$203,4)</f>
        <v>0</v>
      </c>
      <c r="G350" s="21"/>
      <c r="H350" s="21"/>
      <c r="I350" s="21"/>
      <c r="J350" s="21"/>
      <c r="K350" s="76" t="e">
        <f t="shared" si="36"/>
        <v>#VALUE!</v>
      </c>
      <c r="M350" s="261"/>
      <c r="O350" s="12">
        <f t="shared" si="35"/>
        <v>0</v>
      </c>
      <c r="P350" s="245"/>
      <c r="Q350" s="254"/>
      <c r="Y350" s="12">
        <v>349</v>
      </c>
    </row>
    <row r="351" spans="1:25" ht="12.75" customHeight="1" x14ac:dyDescent="0.2">
      <c r="A351" s="21"/>
      <c r="B351" s="138" t="s">
        <v>4117</v>
      </c>
      <c r="C351" s="21" t="str">
        <f>HLOOKUP(Stats!$B$5,Info!$E$2:$DD$57,41,0)</f>
        <v>70*</v>
      </c>
      <c r="D351" s="21" t="str">
        <f>IF(Stats!$B$6="","",HLOOKUP(Stats!$B$6,Info!$E$2:$DD$57,41,0))</f>
        <v>50*</v>
      </c>
      <c r="E351" s="21"/>
      <c r="F351" s="21">
        <f>VLOOKUP(E351,Info!$HB$1:$HI$203,4)</f>
        <v>0</v>
      </c>
      <c r="G351" s="21"/>
      <c r="H351" s="21"/>
      <c r="I351" s="21"/>
      <c r="J351" s="21"/>
      <c r="K351" s="76" t="e">
        <f t="shared" si="36"/>
        <v>#VALUE!</v>
      </c>
      <c r="M351" s="261"/>
      <c r="O351" s="12">
        <f t="shared" si="35"/>
        <v>0</v>
      </c>
      <c r="P351" s="245"/>
      <c r="Q351" s="254"/>
      <c r="Y351" s="12">
        <v>350</v>
      </c>
    </row>
    <row r="352" spans="1:25" ht="12.75" customHeight="1" x14ac:dyDescent="0.2">
      <c r="A352" s="21"/>
      <c r="B352" s="138" t="s">
        <v>4117</v>
      </c>
      <c r="C352" s="21" t="str">
        <f>HLOOKUP(Stats!$B$5,Info!$E$2:$DD$57,41,0)</f>
        <v>70*</v>
      </c>
      <c r="D352" s="21" t="str">
        <f>IF(Stats!$B$6="","",HLOOKUP(Stats!$B$6,Info!$E$2:$DD$57,41,0))</f>
        <v>50*</v>
      </c>
      <c r="E352" s="21"/>
      <c r="F352" s="21">
        <f>VLOOKUP(E352,Info!$HB$1:$HI$203,4)</f>
        <v>0</v>
      </c>
      <c r="G352" s="21"/>
      <c r="H352" s="21"/>
      <c r="I352" s="21"/>
      <c r="J352" s="21"/>
      <c r="K352" s="76" t="e">
        <f t="shared" si="36"/>
        <v>#VALUE!</v>
      </c>
      <c r="M352" s="261"/>
      <c r="O352" s="12">
        <f t="shared" si="35"/>
        <v>0</v>
      </c>
      <c r="P352" s="245"/>
      <c r="Q352" s="254"/>
      <c r="Y352" s="12">
        <v>351</v>
      </c>
    </row>
    <row r="353" spans="1:25" ht="12.75" customHeight="1" x14ac:dyDescent="0.2">
      <c r="A353" s="97"/>
      <c r="B353" s="138" t="s">
        <v>4117</v>
      </c>
      <c r="C353" s="21" t="str">
        <f>HLOOKUP(Stats!$B$5,Info!$E$2:$DD$57,41,0)</f>
        <v>70*</v>
      </c>
      <c r="D353" s="21" t="str">
        <f>IF(Stats!$B$6="","",HLOOKUP(Stats!$B$6,Info!$E$2:$DD$57,41,0))</f>
        <v>50*</v>
      </c>
      <c r="E353" s="21"/>
      <c r="F353" s="21">
        <f>VLOOKUP(E353,Info!$HB$1:$HI$203,4)</f>
        <v>0</v>
      </c>
      <c r="G353" s="21"/>
      <c r="H353" s="21"/>
      <c r="I353" s="21"/>
      <c r="J353" s="21"/>
      <c r="K353" s="76" t="e">
        <f t="shared" si="36"/>
        <v>#VALUE!</v>
      </c>
      <c r="M353" s="261"/>
      <c r="O353" s="12">
        <f t="shared" si="35"/>
        <v>0</v>
      </c>
      <c r="P353" s="245"/>
      <c r="Q353" s="254"/>
      <c r="Y353" s="12">
        <v>352</v>
      </c>
    </row>
    <row r="354" spans="1:25" ht="12.75" customHeight="1" x14ac:dyDescent="0.2">
      <c r="A354" s="116" t="s">
        <v>755</v>
      </c>
      <c r="B354" s="83"/>
      <c r="C354" s="100"/>
      <c r="D354" s="100"/>
      <c r="E354" s="153"/>
      <c r="F354" s="153"/>
      <c r="G354" s="153" t="str">
        <f>Stats!$C$39</f>
        <v>???</v>
      </c>
      <c r="H354" s="171" t="str">
        <f>VLOOKUP(Stats!$C$39,Info!$E$120:$F$127,2,0)</f>
        <v>Realm Stat Bonus</v>
      </c>
      <c r="I354" s="171">
        <f>IF(Stats!$M$4="",HLOOKUP(Stats!$B$5,Info!$F$59:$DD$114,Info!$DF$42,0),((HLOOKUP(Stats!$B$5,Info!$F$59:$DD$114,Info!$DF$42,0)+HLOOKUP(Stats!$B$6,Info!$F$59:$DD$114,Info!$DF$42,0))/2-0.01))</f>
        <v>-0.01</v>
      </c>
      <c r="J354" s="153"/>
      <c r="K354" s="171" t="e">
        <f>F354+H354+I354+J354</f>
        <v>#VALUE!</v>
      </c>
      <c r="M354" s="261"/>
      <c r="O354" s="12">
        <f t="shared" si="35"/>
        <v>0</v>
      </c>
      <c r="P354" s="245"/>
      <c r="Q354" s="254"/>
      <c r="Y354" s="12">
        <v>353</v>
      </c>
    </row>
    <row r="355" spans="1:25" ht="12.75" customHeight="1" x14ac:dyDescent="0.2">
      <c r="A355" s="59"/>
      <c r="B355" s="138" t="s">
        <v>756</v>
      </c>
      <c r="C355" s="21" t="str">
        <f>HLOOKUP(Stats!$B$5,Info!$E$412:$DD$414,2,0)</f>
        <v>8/8/8*</v>
      </c>
      <c r="D355" s="21" t="str">
        <f>IF(Stats!$B$6="","",HLOOKUP(Stats!$B$6,Info!$E$412:$DD$414,2,0))</f>
        <v>8/8/8*</v>
      </c>
      <c r="E355" s="21"/>
      <c r="F355" s="21">
        <f>VLOOKUP(E355,Info!$HB$1:$HI$203,4)</f>
        <v>0</v>
      </c>
      <c r="G355" s="21"/>
      <c r="H355" s="21"/>
      <c r="I355" s="21"/>
      <c r="J355" s="21"/>
      <c r="K355" s="76" t="e">
        <f t="shared" si="36"/>
        <v>#VALUE!</v>
      </c>
      <c r="M355" s="261"/>
      <c r="O355" s="12">
        <f t="shared" si="35"/>
        <v>0</v>
      </c>
      <c r="P355" s="245"/>
      <c r="Q355" s="254"/>
      <c r="Y355" s="12">
        <v>354</v>
      </c>
    </row>
    <row r="356" spans="1:25" ht="12.75" customHeight="1" x14ac:dyDescent="0.2">
      <c r="A356" s="21"/>
      <c r="B356" s="38" t="s">
        <v>756</v>
      </c>
      <c r="C356" s="21" t="str">
        <f>HLOOKUP(Stats!$B$5,Info!$E$412:$DD$414,2,0)</f>
        <v>8/8/8*</v>
      </c>
      <c r="D356" s="21" t="str">
        <f>IF(Stats!$B$6="","",HLOOKUP(Stats!$B$6,Info!$E$412:$DD$414,2,0))</f>
        <v>8/8/8*</v>
      </c>
      <c r="E356" s="21"/>
      <c r="F356" s="21">
        <f>VLOOKUP(E356,Info!$HB$1:$HI$203,4)</f>
        <v>0</v>
      </c>
      <c r="G356" s="21"/>
      <c r="H356" s="21"/>
      <c r="I356" s="21"/>
      <c r="J356" s="21"/>
      <c r="K356" s="76" t="e">
        <f t="shared" si="36"/>
        <v>#VALUE!</v>
      </c>
      <c r="M356" s="261"/>
      <c r="O356" s="12">
        <f t="shared" si="35"/>
        <v>0</v>
      </c>
      <c r="P356" s="245"/>
      <c r="Q356" s="254"/>
      <c r="Y356" s="12">
        <v>355</v>
      </c>
    </row>
    <row r="357" spans="1:25" ht="12.75" customHeight="1" x14ac:dyDescent="0.2">
      <c r="A357" s="21"/>
      <c r="B357" s="38" t="s">
        <v>756</v>
      </c>
      <c r="C357" s="21" t="str">
        <f>HLOOKUP(Stats!$B$5,Info!$E$412:$DD$414,2,0)</f>
        <v>8/8/8*</v>
      </c>
      <c r="D357" s="21" t="str">
        <f>IF(Stats!$B$6="","",HLOOKUP(Stats!$B$6,Info!$E$412:$DD$414,2,0))</f>
        <v>8/8/8*</v>
      </c>
      <c r="E357" s="21"/>
      <c r="F357" s="21">
        <f>VLOOKUP(E357,Info!$HB$1:$HI$203,4)</f>
        <v>0</v>
      </c>
      <c r="G357" s="21"/>
      <c r="H357" s="21"/>
      <c r="I357" s="21"/>
      <c r="J357" s="21"/>
      <c r="K357" s="76" t="e">
        <f t="shared" si="36"/>
        <v>#VALUE!</v>
      </c>
      <c r="M357" s="261"/>
      <c r="O357" s="12">
        <f t="shared" si="35"/>
        <v>0</v>
      </c>
      <c r="P357" s="245"/>
      <c r="Q357" s="254"/>
      <c r="Y357" s="12">
        <v>356</v>
      </c>
    </row>
    <row r="358" spans="1:25" ht="12.75" customHeight="1" x14ac:dyDescent="0.2">
      <c r="A358" s="97"/>
      <c r="B358" s="155" t="s">
        <v>756</v>
      </c>
      <c r="C358" s="21" t="str">
        <f>HLOOKUP(Stats!$B$5,Info!$E$412:$DD$414,2,0)</f>
        <v>8/8/8*</v>
      </c>
      <c r="D358" s="21" t="str">
        <f>IF(Stats!$B$6="","",HLOOKUP(Stats!$B$6,Info!$E$412:$DD$414,2,0))</f>
        <v>8/8/8*</v>
      </c>
      <c r="E358" s="21"/>
      <c r="F358" s="21">
        <f>VLOOKUP(E358,Info!$HB$1:$HI$203,4)</f>
        <v>0</v>
      </c>
      <c r="G358" s="21"/>
      <c r="H358" s="21"/>
      <c r="I358" s="21"/>
      <c r="J358" s="21"/>
      <c r="K358" s="76" t="e">
        <f t="shared" si="36"/>
        <v>#VALUE!</v>
      </c>
      <c r="M358" s="261"/>
      <c r="O358" s="12">
        <f t="shared" si="35"/>
        <v>0</v>
      </c>
      <c r="P358" s="245"/>
      <c r="Q358" s="254"/>
      <c r="Y358" s="12">
        <v>357</v>
      </c>
    </row>
    <row r="359" spans="1:25" ht="12.75" customHeight="1" x14ac:dyDescent="0.2">
      <c r="A359" s="116" t="s">
        <v>757</v>
      </c>
      <c r="B359" s="83"/>
      <c r="C359" s="100"/>
      <c r="D359" s="100"/>
      <c r="E359" s="153"/>
      <c r="F359" s="153"/>
      <c r="G359" s="153" t="str">
        <f>Stats!$C$39</f>
        <v>???</v>
      </c>
      <c r="H359" s="171" t="str">
        <f>VLOOKUP(Stats!$C$39,Info!$E$120:$F$127,2,0)</f>
        <v>Realm Stat Bonus</v>
      </c>
      <c r="I359" s="171">
        <f>IF(Stats!$M$4="",HLOOKUP(Stats!$B$5,Info!$F$59:$DD$114,Info!$DF$42,0),((HLOOKUP(Stats!$B$5,Info!$F$59:$DD$114,Info!$DF$42,0)+HLOOKUP(Stats!$B$6,Info!$F$59:$DD$114,Info!$DF$42,0))/2-0.01))</f>
        <v>-0.01</v>
      </c>
      <c r="J359" s="153"/>
      <c r="K359" s="171" t="e">
        <f>F359+H359+I359+J359</f>
        <v>#VALUE!</v>
      </c>
      <c r="M359" s="261"/>
      <c r="O359" s="12">
        <f t="shared" si="35"/>
        <v>0</v>
      </c>
      <c r="P359" s="245"/>
      <c r="Q359" s="254"/>
      <c r="Y359" s="12">
        <v>358</v>
      </c>
    </row>
    <row r="360" spans="1:25" ht="12.75" customHeight="1" x14ac:dyDescent="0.2">
      <c r="A360" s="59"/>
      <c r="B360" s="138" t="s">
        <v>756</v>
      </c>
      <c r="C360" s="21" t="str">
        <f>HLOOKUP(Stats!$B$5,Info!$E$412:$DD$414,3,0)</f>
        <v>16/16</v>
      </c>
      <c r="D360" s="21" t="str">
        <f>IF(Stats!$B$6="","",HLOOKUP(Stats!$B$6,Info!$E$412:$DD$414,3,0))</f>
        <v>16/16</v>
      </c>
      <c r="E360" s="21"/>
      <c r="F360" s="21">
        <f>VLOOKUP(E360,Info!$HB$1:$HI$203,4)</f>
        <v>0</v>
      </c>
      <c r="G360" s="21"/>
      <c r="H360" s="21"/>
      <c r="I360" s="21"/>
      <c r="J360" s="21"/>
      <c r="K360" s="76" t="e">
        <f t="shared" si="36"/>
        <v>#VALUE!</v>
      </c>
      <c r="M360" s="261"/>
      <c r="O360" s="12">
        <f t="shared" si="35"/>
        <v>0</v>
      </c>
      <c r="P360" s="245"/>
      <c r="Q360" s="254"/>
      <c r="Y360" s="12">
        <v>359</v>
      </c>
    </row>
    <row r="361" spans="1:25" ht="12.75" customHeight="1" x14ac:dyDescent="0.2">
      <c r="A361" s="21"/>
      <c r="B361" s="38" t="s">
        <v>756</v>
      </c>
      <c r="C361" s="21" t="str">
        <f>HLOOKUP(Stats!$B$5,Info!$E$412:$DD$414,3,0)</f>
        <v>16/16</v>
      </c>
      <c r="D361" s="21" t="str">
        <f>IF(Stats!$B$6="","",HLOOKUP(Stats!$B$6,Info!$E$412:$DD$414,3,0))</f>
        <v>16/16</v>
      </c>
      <c r="E361" s="21"/>
      <c r="F361" s="21">
        <f>VLOOKUP(E361,Info!$HB$1:$HI$203,4)</f>
        <v>0</v>
      </c>
      <c r="G361" s="21"/>
      <c r="H361" s="21"/>
      <c r="I361" s="21"/>
      <c r="J361" s="21"/>
      <c r="K361" s="76" t="e">
        <f t="shared" si="36"/>
        <v>#VALUE!</v>
      </c>
      <c r="M361" s="261"/>
      <c r="O361" s="12">
        <f t="shared" si="35"/>
        <v>0</v>
      </c>
      <c r="P361" s="245"/>
      <c r="Q361" s="254"/>
      <c r="Y361" s="12">
        <v>360</v>
      </c>
    </row>
    <row r="362" spans="1:25" ht="12.75" customHeight="1" x14ac:dyDescent="0.2">
      <c r="A362" s="21"/>
      <c r="B362" s="38" t="s">
        <v>756</v>
      </c>
      <c r="C362" s="21" t="str">
        <f>HLOOKUP(Stats!$B$5,Info!$E$412:$DD$414,3,0)</f>
        <v>16/16</v>
      </c>
      <c r="D362" s="21" t="str">
        <f>IF(Stats!$B$6="","",HLOOKUP(Stats!$B$6,Info!$E$412:$DD$414,3,0))</f>
        <v>16/16</v>
      </c>
      <c r="E362" s="21"/>
      <c r="F362" s="21">
        <f>VLOOKUP(E362,Info!$HB$1:$HI$203,4)</f>
        <v>0</v>
      </c>
      <c r="G362" s="21"/>
      <c r="H362" s="21"/>
      <c r="I362" s="21"/>
      <c r="J362" s="21"/>
      <c r="K362" s="76" t="e">
        <f t="shared" si="36"/>
        <v>#VALUE!</v>
      </c>
      <c r="M362" s="261"/>
      <c r="O362" s="12">
        <f t="shared" si="35"/>
        <v>0</v>
      </c>
      <c r="P362" s="245"/>
      <c r="Q362" s="254"/>
      <c r="Y362" s="12">
        <v>361</v>
      </c>
    </row>
    <row r="363" spans="1:25" ht="12.75" customHeight="1" x14ac:dyDescent="0.2">
      <c r="A363" s="97"/>
      <c r="B363" s="155" t="s">
        <v>756</v>
      </c>
      <c r="C363" s="21" t="str">
        <f>HLOOKUP(Stats!$B$5,Info!$E$412:$DD$414,3,0)</f>
        <v>16/16</v>
      </c>
      <c r="D363" s="21" t="str">
        <f>IF(Stats!$B$6="","",HLOOKUP(Stats!$B$6,Info!$E$412:$DD$414,3,0))</f>
        <v>16/16</v>
      </c>
      <c r="E363" s="21"/>
      <c r="F363" s="21">
        <f>VLOOKUP(E363,Info!$HB$1:$HI$203,4)</f>
        <v>0</v>
      </c>
      <c r="G363" s="21"/>
      <c r="H363" s="21"/>
      <c r="I363" s="21"/>
      <c r="J363" s="21"/>
      <c r="K363" s="76" t="e">
        <f t="shared" si="36"/>
        <v>#VALUE!</v>
      </c>
      <c r="M363" s="261"/>
      <c r="O363" s="12">
        <f t="shared" si="35"/>
        <v>0</v>
      </c>
      <c r="P363" s="245"/>
      <c r="Q363" s="254"/>
      <c r="Y363" s="12">
        <v>362</v>
      </c>
    </row>
    <row r="364" spans="1:25" ht="12.75" customHeight="1" x14ac:dyDescent="0.2">
      <c r="A364" s="116" t="s">
        <v>758</v>
      </c>
      <c r="B364" s="83"/>
      <c r="C364" s="100"/>
      <c r="D364" s="100"/>
      <c r="E364" s="153"/>
      <c r="F364" s="153"/>
      <c r="G364" s="153" t="str">
        <f>Stats!$C$39</f>
        <v>???</v>
      </c>
      <c r="H364" s="171" t="str">
        <f>VLOOKUP(Stats!$C$39,Info!$E$120:$F$127,2,0)</f>
        <v>Realm Stat Bonus</v>
      </c>
      <c r="I364" s="171">
        <f>IF(Stats!$M$4="",HLOOKUP(Stats!$B$5,Info!$F$59:$DD$114,Info!$DF$42,0),((HLOOKUP(Stats!$B$5,Info!$F$59:$DD$114,Info!$DF$42,0)+HLOOKUP(Stats!$B$6,Info!$F$59:$DD$114,Info!$DF$42,0))/2-0.01))</f>
        <v>-0.01</v>
      </c>
      <c r="J364" s="153"/>
      <c r="K364" s="171" t="e">
        <f>F364+H364+I364+J364</f>
        <v>#VALUE!</v>
      </c>
      <c r="M364" s="261"/>
      <c r="O364" s="12">
        <f t="shared" si="35"/>
        <v>0</v>
      </c>
      <c r="P364" s="245"/>
      <c r="Q364" s="254"/>
      <c r="Y364" s="12">
        <v>363</v>
      </c>
    </row>
    <row r="365" spans="1:25" ht="12.75" customHeight="1" x14ac:dyDescent="0.2">
      <c r="A365" s="59"/>
      <c r="B365" s="138" t="s">
        <v>759</v>
      </c>
      <c r="C365" s="21" t="str">
        <f>HLOOKUP(Stats!$B$5,Info!$E$412:$DD$418,5,0)</f>
        <v>65*</v>
      </c>
      <c r="D365" s="21" t="str">
        <f>IF(Stats!$B$6="","",HLOOKUP(Stats!$B$6,Info!$E$412:$DD$418,5,0))</f>
        <v>80*</v>
      </c>
      <c r="E365" s="21"/>
      <c r="F365" s="21">
        <f>VLOOKUP(E365,Info!$HB$1:$HI$203,4)</f>
        <v>0</v>
      </c>
      <c r="G365" s="21"/>
      <c r="H365" s="21"/>
      <c r="I365" s="21"/>
      <c r="J365" s="21"/>
      <c r="K365" s="76" t="e">
        <f t="shared" si="36"/>
        <v>#VALUE!</v>
      </c>
      <c r="M365" s="261"/>
      <c r="O365" s="12">
        <f t="shared" si="35"/>
        <v>0</v>
      </c>
      <c r="P365" s="245"/>
      <c r="Q365" s="254"/>
      <c r="Y365" s="12">
        <v>364</v>
      </c>
    </row>
    <row r="366" spans="1:25" ht="12.75" customHeight="1" x14ac:dyDescent="0.2">
      <c r="A366" s="21"/>
      <c r="B366" s="38" t="s">
        <v>759</v>
      </c>
      <c r="C366" s="21" t="str">
        <f>HLOOKUP(Stats!$B$5,Info!$E$412:$DD$418,5,0)</f>
        <v>65*</v>
      </c>
      <c r="D366" s="21" t="str">
        <f>IF(Stats!$B$6="","",HLOOKUP(Stats!$B$6,Info!$E$412:$DD$418,5,0))</f>
        <v>80*</v>
      </c>
      <c r="E366" s="21"/>
      <c r="F366" s="21">
        <f>VLOOKUP(E366,Info!$HB$1:$HI$203,4)</f>
        <v>0</v>
      </c>
      <c r="G366" s="21"/>
      <c r="H366" s="21"/>
      <c r="I366" s="21"/>
      <c r="J366" s="21"/>
      <c r="K366" s="76" t="e">
        <f t="shared" si="36"/>
        <v>#VALUE!</v>
      </c>
      <c r="M366" s="261"/>
      <c r="O366" s="12">
        <f t="shared" si="35"/>
        <v>0</v>
      </c>
      <c r="P366" s="245"/>
      <c r="Q366" s="254"/>
      <c r="Y366" s="12">
        <v>365</v>
      </c>
    </row>
    <row r="367" spans="1:25" ht="12.75" customHeight="1" x14ac:dyDescent="0.2">
      <c r="A367" s="21"/>
      <c r="B367" s="38" t="s">
        <v>759</v>
      </c>
      <c r="C367" s="21" t="str">
        <f>HLOOKUP(Stats!$B$5,Info!$E$412:$DD$418,5,0)</f>
        <v>65*</v>
      </c>
      <c r="D367" s="21" t="str">
        <f>IF(Stats!$B$6="","",HLOOKUP(Stats!$B$6,Info!$E$412:$DD$418,5,0))</f>
        <v>80*</v>
      </c>
      <c r="E367" s="21"/>
      <c r="F367" s="21">
        <f>VLOOKUP(E367,Info!$HB$1:$HI$203,4)</f>
        <v>0</v>
      </c>
      <c r="G367" s="21"/>
      <c r="H367" s="21"/>
      <c r="I367" s="21"/>
      <c r="J367" s="21"/>
      <c r="K367" s="76" t="e">
        <f t="shared" si="36"/>
        <v>#VALUE!</v>
      </c>
      <c r="M367" s="261"/>
      <c r="O367" s="12">
        <f t="shared" si="35"/>
        <v>0</v>
      </c>
      <c r="P367" s="245"/>
      <c r="Q367" s="254"/>
      <c r="Y367" s="12">
        <v>366</v>
      </c>
    </row>
    <row r="368" spans="1:25" ht="12.75" customHeight="1" x14ac:dyDescent="0.2">
      <c r="A368" s="97"/>
      <c r="B368" s="155" t="s">
        <v>759</v>
      </c>
      <c r="C368" s="21" t="str">
        <f>HLOOKUP(Stats!$B$5,Info!$E$412:$DD$418,5,0)</f>
        <v>65*</v>
      </c>
      <c r="D368" s="21" t="str">
        <f>IF(Stats!$B$6="","",HLOOKUP(Stats!$B$6,Info!$E$412:$DD$418,5,0))</f>
        <v>80*</v>
      </c>
      <c r="E368" s="21"/>
      <c r="F368" s="21">
        <f>VLOOKUP(E368,Info!$HB$1:$HI$203,4)</f>
        <v>0</v>
      </c>
      <c r="G368" s="21"/>
      <c r="H368" s="21"/>
      <c r="I368" s="21"/>
      <c r="J368" s="21"/>
      <c r="K368" s="76" t="e">
        <f t="shared" si="36"/>
        <v>#VALUE!</v>
      </c>
      <c r="M368" s="261"/>
      <c r="O368" s="12">
        <f t="shared" si="35"/>
        <v>0</v>
      </c>
      <c r="P368" s="245"/>
      <c r="Q368" s="254"/>
      <c r="Y368" s="12">
        <v>367</v>
      </c>
    </row>
    <row r="369" spans="1:25" ht="12.75" customHeight="1" x14ac:dyDescent="0.2">
      <c r="A369" s="116" t="s">
        <v>764</v>
      </c>
      <c r="B369" s="83"/>
      <c r="C369" s="100"/>
      <c r="D369" s="100"/>
      <c r="E369" s="153"/>
      <c r="F369" s="153"/>
      <c r="G369" s="153" t="str">
        <f>Stats!$C$39</f>
        <v>???</v>
      </c>
      <c r="H369" s="171" t="str">
        <f>VLOOKUP(Stats!$C$39,Info!$E$120:$F$127,2,0)</f>
        <v>Realm Stat Bonus</v>
      </c>
      <c r="I369" s="171">
        <f>IF(Stats!$M$4="",HLOOKUP(Stats!$B$5,Info!$F$59:$DD$114,Info!$DF$42,0),((HLOOKUP(Stats!$B$5,Info!$F$59:$DD$114,Info!$DF$42,0)+HLOOKUP(Stats!$B$6,Info!$F$59:$DD$114,Info!$DF$42,0))/2-0.01))</f>
        <v>-0.01</v>
      </c>
      <c r="J369" s="153"/>
      <c r="K369" s="171" t="e">
        <f>F369+H369+I369+J369</f>
        <v>#VALUE!</v>
      </c>
      <c r="M369" s="261"/>
      <c r="O369" s="12">
        <f t="shared" si="35"/>
        <v>0</v>
      </c>
      <c r="P369" s="245"/>
      <c r="Q369" s="254"/>
      <c r="Y369" s="12">
        <v>368</v>
      </c>
    </row>
    <row r="370" spans="1:25" ht="12.75" customHeight="1" x14ac:dyDescent="0.2">
      <c r="A370" s="59"/>
      <c r="B370" s="138" t="s">
        <v>4118</v>
      </c>
      <c r="C370" s="21" t="str">
        <f>HLOOKUP(Stats!$B$5,Info!$E$412:$DD$428,10,0)</f>
        <v>120*</v>
      </c>
      <c r="D370" s="21" t="str">
        <f>IF(Stats!$B$6="","",HLOOKUP(Stats!$B$6,Info!$E$412:$DD$428,10,0))</f>
        <v>120*</v>
      </c>
      <c r="E370" s="21"/>
      <c r="F370" s="21">
        <f>VLOOKUP(E370,Info!$HB$1:$HI$203,4)</f>
        <v>0</v>
      </c>
      <c r="G370" s="21"/>
      <c r="H370" s="21"/>
      <c r="I370" s="21"/>
      <c r="J370" s="21"/>
      <c r="K370" s="76" t="e">
        <f t="shared" si="36"/>
        <v>#VALUE!</v>
      </c>
      <c r="M370" s="261"/>
      <c r="O370" s="12">
        <f t="shared" si="35"/>
        <v>0</v>
      </c>
      <c r="P370" s="245"/>
      <c r="Q370" s="254"/>
      <c r="Y370" s="12">
        <v>369</v>
      </c>
    </row>
    <row r="371" spans="1:25" ht="12.75" customHeight="1" x14ac:dyDescent="0.2">
      <c r="A371" s="21"/>
      <c r="B371" s="138" t="s">
        <v>4118</v>
      </c>
      <c r="C371" s="21" t="str">
        <f>HLOOKUP(Stats!$B$5,Info!$E$412:$DD$428,10,0)</f>
        <v>120*</v>
      </c>
      <c r="D371" s="21" t="str">
        <f>IF(Stats!$B$6="","",HLOOKUP(Stats!$B$6,Info!$E$412:$DD$428,10,0))</f>
        <v>120*</v>
      </c>
      <c r="E371" s="21"/>
      <c r="F371" s="21">
        <f>VLOOKUP(E371,Info!$HB$1:$HI$203,4)</f>
        <v>0</v>
      </c>
      <c r="G371" s="21"/>
      <c r="H371" s="21"/>
      <c r="I371" s="21"/>
      <c r="J371" s="21"/>
      <c r="K371" s="76" t="e">
        <f t="shared" si="36"/>
        <v>#VALUE!</v>
      </c>
      <c r="M371" s="261"/>
      <c r="O371" s="12">
        <f t="shared" si="35"/>
        <v>0</v>
      </c>
      <c r="P371" s="245"/>
      <c r="Q371" s="254"/>
      <c r="Y371" s="12">
        <v>370</v>
      </c>
    </row>
    <row r="372" spans="1:25" ht="12.75" customHeight="1" x14ac:dyDescent="0.2">
      <c r="A372" s="97"/>
      <c r="B372" s="44" t="s">
        <v>4118</v>
      </c>
      <c r="C372" s="21" t="str">
        <f>HLOOKUP(Stats!$B$5,Info!$E$412:$DD$428,10,0)</f>
        <v>120*</v>
      </c>
      <c r="D372" s="21" t="str">
        <f>IF(Stats!$B$6="","",HLOOKUP(Stats!$B$6,Info!$E$412:$DD$428,10,0))</f>
        <v>120*</v>
      </c>
      <c r="E372" s="21"/>
      <c r="F372" s="21">
        <f>VLOOKUP(E372,Info!$HB$1:$HI$203,4)</f>
        <v>0</v>
      </c>
      <c r="G372" s="21"/>
      <c r="H372" s="21"/>
      <c r="I372" s="21"/>
      <c r="J372" s="21"/>
      <c r="K372" s="76" t="e">
        <f t="shared" si="36"/>
        <v>#VALUE!</v>
      </c>
      <c r="M372" s="261"/>
      <c r="O372" s="12">
        <f t="shared" si="35"/>
        <v>0</v>
      </c>
      <c r="P372" s="245"/>
      <c r="Q372" s="254"/>
      <c r="Y372" s="12">
        <v>371</v>
      </c>
    </row>
    <row r="373" spans="1:25" ht="12.75" customHeight="1" x14ac:dyDescent="0.2">
      <c r="A373" s="274"/>
      <c r="B373" s="240" t="s">
        <v>4118</v>
      </c>
      <c r="C373" s="131" t="str">
        <f>HLOOKUP(Stats!$B$5,Info!$E$412:$DD$428,10,0)</f>
        <v>120*</v>
      </c>
      <c r="D373" s="21" t="str">
        <f>IF(Stats!$B$6="","",HLOOKUP(Stats!$B$6,Info!$E$412:$DD$428,10,0))</f>
        <v>120*</v>
      </c>
      <c r="E373" s="21"/>
      <c r="F373" s="21">
        <f>VLOOKUP(E373,Info!$HB$1:$HI$203,4)</f>
        <v>0</v>
      </c>
      <c r="G373" s="21"/>
      <c r="H373" s="21"/>
      <c r="I373" s="21"/>
      <c r="J373" s="21"/>
      <c r="K373" s="76" t="e">
        <f t="shared" si="36"/>
        <v>#VALUE!</v>
      </c>
      <c r="M373" s="262"/>
      <c r="N373" s="263"/>
      <c r="O373" s="263">
        <f t="shared" si="35"/>
        <v>0</v>
      </c>
      <c r="P373" s="264"/>
      <c r="Q373" s="255"/>
      <c r="Y373" s="12">
        <v>372</v>
      </c>
    </row>
    <row r="374" spans="1:25" ht="12.75" customHeight="1" x14ac:dyDescent="0.2">
      <c r="Y374" s="12">
        <v>373</v>
      </c>
    </row>
    <row r="381" spans="1:25" ht="12.75" customHeight="1" x14ac:dyDescent="0.2">
      <c r="M381" s="12" t="s">
        <v>765</v>
      </c>
      <c r="N381" s="172"/>
      <c r="O381" s="12" t="s">
        <v>766</v>
      </c>
      <c r="R381" s="77">
        <f>LARGE(Info!$IN$2:$IN$32,1)</f>
        <v>3.4901900000000001</v>
      </c>
      <c r="S381" s="77"/>
      <c r="T381" s="12" t="str">
        <f>VLOOKUP(R381,Info!$IN$2:$IO$32,Info!$IO$1,0)</f>
        <v>Thrown</v>
      </c>
    </row>
    <row r="382" spans="1:25" ht="12.75" customHeight="1" x14ac:dyDescent="0.2">
      <c r="M382" s="12" t="s">
        <v>767</v>
      </c>
      <c r="N382" s="172"/>
      <c r="O382" s="12" t="s">
        <v>766</v>
      </c>
      <c r="R382" s="77">
        <f>LARGE(Info!$IN$2:$IN$32,2)</f>
        <v>3.4901800000000001</v>
      </c>
      <c r="S382" s="77"/>
      <c r="T382" s="12" t="str">
        <f>VLOOKUP(R382,Info!$IN$2:$IO$32,Info!$IO$1,0)</f>
        <v>Thrown</v>
      </c>
    </row>
    <row r="383" spans="1:25" ht="12.75" customHeight="1" x14ac:dyDescent="0.2">
      <c r="M383" s="12" t="s">
        <v>768</v>
      </c>
      <c r="N383" s="172"/>
      <c r="O383" s="12" t="s">
        <v>766</v>
      </c>
      <c r="R383" s="77">
        <f>LARGE(Info!$IN$2:$IN$32,3)</f>
        <v>3.49017</v>
      </c>
      <c r="S383" s="77"/>
      <c r="T383" s="12" t="str">
        <f>VLOOKUP(R383,Info!$IN$2:$IO$32,Info!$IO$1,0)</f>
        <v>Thrown</v>
      </c>
    </row>
    <row r="384" spans="1:25" ht="12.75" customHeight="1" x14ac:dyDescent="0.2">
      <c r="M384" s="12" t="s">
        <v>769</v>
      </c>
      <c r="N384" s="173"/>
      <c r="P384" s="12">
        <f>SUM($N$3:$N$383)</f>
        <v>0</v>
      </c>
      <c r="R384" s="77">
        <f>LARGE(Info!$IN$2:$IN$32,4)</f>
        <v>3.4901300000000002</v>
      </c>
      <c r="S384" s="77"/>
      <c r="T384" s="12" t="str">
        <f>VLOOKUP(R384,Info!$IN$2:$IO$32,Info!$IO$1,0)</f>
        <v>Artillery</v>
      </c>
    </row>
    <row r="385" spans="18:20" ht="12.75" customHeight="1" x14ac:dyDescent="0.2">
      <c r="R385" s="77">
        <f>LARGE(Info!$IN$2:$IN$32,5)</f>
        <v>3.4901200000000001</v>
      </c>
      <c r="S385" s="77"/>
      <c r="T385" s="12" t="str">
        <f>VLOOKUP(R385,Info!$IN$2:$IO$32,Info!$IO$1,0)</f>
        <v>Missile</v>
      </c>
    </row>
    <row r="386" spans="18:20" ht="12.75" customHeight="1" x14ac:dyDescent="0.2">
      <c r="R386" s="77">
        <f>LARGE(Info!$IN$2:$IN$32,6)</f>
        <v>3.49011</v>
      </c>
      <c r="S386" s="77"/>
      <c r="T386" s="12" t="str">
        <f>VLOOKUP(R386,Info!$IN$2:$IO$32,Info!$IO$1,0)</f>
        <v>Missile</v>
      </c>
    </row>
    <row r="387" spans="18:20" ht="12.75" customHeight="1" x14ac:dyDescent="0.2">
      <c r="R387" s="77">
        <f>LARGE(Info!$IN$2:$IN$32,7)</f>
        <v>3.4901000000000004</v>
      </c>
      <c r="S387" s="77"/>
      <c r="T387" s="12" t="str">
        <f>VLOOKUP(R387,Info!$IN$2:$IO$32,Info!$IO$1,0)</f>
        <v>Missile</v>
      </c>
    </row>
    <row r="388" spans="18:20" ht="12.75" customHeight="1" x14ac:dyDescent="0.2">
      <c r="R388" s="77">
        <f>LARGE(Info!$IN$2:$IN$32,8)</f>
        <v>2.490000000000002</v>
      </c>
      <c r="S388" s="77"/>
      <c r="T388" s="12" t="str">
        <f>VLOOKUP(R388,Info!$IN$2:$IO$32,Info!$IO$1,0)</f>
        <v>Two-Weapon Fighting</v>
      </c>
    </row>
    <row r="389" spans="18:20" ht="12.75" customHeight="1" x14ac:dyDescent="0.2">
      <c r="R389" s="77">
        <f>LARGE(Info!$IN$2:$IN$32,9)</f>
        <v>-3.01</v>
      </c>
      <c r="S389" s="77"/>
      <c r="T389" s="12" t="str">
        <f>VLOOKUP(R389,Info!$IN$2:$IO$32,Info!$IO$1,0)</f>
        <v>Directed Spell (per spell)</v>
      </c>
    </row>
    <row r="390" spans="18:20" ht="12.75" customHeight="1" x14ac:dyDescent="0.2">
      <c r="R390" s="77">
        <f>LARGE(Info!$IN$2:$IN$32,10)</f>
        <v>-3.01</v>
      </c>
      <c r="S390" s="77"/>
      <c r="T390" s="12" t="str">
        <f>VLOOKUP(R390,Info!$IN$2:$IO$32,Info!$IO$1,0)</f>
        <v>Directed Spell (per spell)</v>
      </c>
    </row>
    <row r="391" spans="18:20" ht="12.75" customHeight="1" x14ac:dyDescent="0.2">
      <c r="R391" s="77">
        <f>LARGE(Info!$IN$2:$IN$32,11)</f>
        <v>-3.01</v>
      </c>
      <c r="S391" s="77"/>
      <c r="T391" s="12" t="str">
        <f>VLOOKUP(R391,Info!$IN$2:$IO$32,Info!$IO$1,0)</f>
        <v>Directed Spell (per spell)</v>
      </c>
    </row>
    <row r="392" spans="18:20" ht="12.75" customHeight="1" x14ac:dyDescent="0.2">
      <c r="R392" s="77">
        <f>LARGE(Info!$IN$2:$IN$32,12)</f>
        <v>-9.01</v>
      </c>
      <c r="S392" s="77"/>
      <c r="T392" s="12" t="str">
        <f>VLOOKUP(R392,Info!$IN$2:$IO$32,Info!$IO$1,0)</f>
        <v>Sweeps 2</v>
      </c>
    </row>
    <row r="393" spans="18:20" ht="12.75" customHeight="1" x14ac:dyDescent="0.2">
      <c r="R393" s="12">
        <f>LARGE(Info!$IN$2:$IN$32,13)</f>
        <v>-9.01</v>
      </c>
      <c r="T393" s="12" t="str">
        <f>VLOOKUP(R393,Info!$IN$2:$IO$32,Info!$IO$1,0)</f>
        <v>Sweeps 2</v>
      </c>
    </row>
    <row r="394" spans="18:20" ht="12.75" customHeight="1" x14ac:dyDescent="0.2">
      <c r="R394" s="12">
        <f>LARGE(Info!$IN$2:$IN$32,14)</f>
        <v>-14.509840000000001</v>
      </c>
      <c r="T394" s="12" t="str">
        <f>VLOOKUP(R394,Info!$IN$2:$IO$32,Info!$IO$1,0)</f>
        <v>Pole Arm</v>
      </c>
    </row>
    <row r="395" spans="18:20" ht="12.75" customHeight="1" x14ac:dyDescent="0.2">
      <c r="R395" s="12">
        <f>LARGE(Info!$IN$2:$IN$32,15)</f>
        <v>-14.50985</v>
      </c>
      <c r="T395" s="12" t="str">
        <f>VLOOKUP(R395,Info!$IN$2:$IO$32,Info!$IO$1,0)</f>
        <v>Pole Arm</v>
      </c>
    </row>
    <row r="396" spans="18:20" ht="12.75" customHeight="1" x14ac:dyDescent="0.2">
      <c r="R396" s="12">
        <f>LARGE(Info!$IN$2:$IN$32,16)</f>
        <v>-14.50986</v>
      </c>
      <c r="T396" s="12" t="str">
        <f>VLOOKUP(R396,Info!$IN$2:$IO$32,Info!$IO$1,0)</f>
        <v>Pole Arm</v>
      </c>
    </row>
    <row r="397" spans="18:20" ht="12.75" customHeight="1" x14ac:dyDescent="0.2">
      <c r="R397" s="12">
        <f>LARGE(Info!$IN$2:$IN$32,17)</f>
        <v>-14.50991</v>
      </c>
      <c r="T397" s="12" t="str">
        <f>VLOOKUP(R397,Info!$IN$2:$IO$32,Info!$IO$1,0)</f>
        <v>2-Handed</v>
      </c>
    </row>
    <row r="398" spans="18:20" ht="12.75" customHeight="1" x14ac:dyDescent="0.2">
      <c r="R398" s="12">
        <f>LARGE(Info!$IN$2:$IN$32,18)</f>
        <v>-14.509919999999999</v>
      </c>
      <c r="T398" s="12" t="str">
        <f>VLOOKUP(R398,Info!$IN$2:$IO$32,Info!$IO$1,0)</f>
        <v>2-Handed</v>
      </c>
    </row>
    <row r="399" spans="18:20" ht="12.75" customHeight="1" x14ac:dyDescent="0.2">
      <c r="R399" s="12">
        <f>LARGE(Info!$IN$2:$IN$32,19)</f>
        <v>-14.509930000000001</v>
      </c>
      <c r="T399" s="12" t="str">
        <f>VLOOKUP(R399,Info!$IN$2:$IO$32,Info!$IO$1,0)</f>
        <v>2-Handed</v>
      </c>
    </row>
    <row r="400" spans="18:20" ht="12.75" customHeight="1" x14ac:dyDescent="0.2">
      <c r="R400" s="12">
        <f>LARGE(Info!$IN$2:$IN$32,20)</f>
        <v>-14.50994</v>
      </c>
      <c r="T400" s="12" t="str">
        <f>VLOOKUP(R400,Info!$IN$2:$IO$32,Info!$IO$1,0)</f>
        <v>1-H Edged</v>
      </c>
    </row>
  </sheetData>
  <sheetProtection selectLockedCells="1" selectUnlockedCells="1"/>
  <mergeCells count="6">
    <mergeCell ref="A337:B337"/>
    <mergeCell ref="A2:B2"/>
    <mergeCell ref="A67:B67"/>
    <mergeCell ref="A135:B135"/>
    <mergeCell ref="A205:B205"/>
    <mergeCell ref="A280:B280"/>
  </mergeCells>
  <dataValidations disablePrompts="1" count="1">
    <dataValidation type="list" allowBlank="1" showInputMessage="1" showErrorMessage="1" sqref="V2:X2">
      <formula1>TPs</formula1>
    </dataValidation>
  </dataValidations>
  <printOptions horizontalCentered="1"/>
  <pageMargins left="0.39374999999999999" right="0.35416666666666669" top="0.19652777777777777" bottom="0.15763888888888888" header="0.51180555555555551" footer="0.51180555555555551"/>
  <pageSetup paperSize="9" scale="90" firstPageNumber="0" orientation="portrait" horizontalDpi="300" verticalDpi="300" r:id="rId1"/>
  <headerFooter alignWithMargins="0"/>
  <rowBreaks count="6" manualBreakCount="6">
    <brk id="66" max="16383" man="1"/>
    <brk id="134" max="16383" man="1"/>
    <brk id="204" max="16383" man="1"/>
    <brk id="270" max="16383" man="1"/>
    <brk id="336" max="16383" man="1"/>
    <brk id="373" max="16383" man="1"/>
  </rowBreaks>
  <ignoredErrors>
    <ignoredError sqref="F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A462"/>
  <sheetViews>
    <sheetView topLeftCell="EK19" workbookViewId="0">
      <selection activeCell="FB29" sqref="FB29"/>
    </sheetView>
  </sheetViews>
  <sheetFormatPr defaultColWidth="11.5703125" defaultRowHeight="13.35" customHeight="1" x14ac:dyDescent="0.2"/>
  <cols>
    <col min="1" max="1" width="4" style="174" customWidth="1"/>
    <col min="2" max="2" width="5.85546875" style="174" customWidth="1"/>
    <col min="3" max="3" width="4.5703125" style="174" customWidth="1"/>
    <col min="4" max="4" width="11.5703125" style="174"/>
    <col min="5" max="5" width="19" style="174" customWidth="1"/>
    <col min="6" max="6" width="5.7109375" style="174" customWidth="1"/>
    <col min="7" max="7" width="4.5703125" style="174" customWidth="1"/>
    <col min="8" max="8" width="5.42578125" style="174" customWidth="1"/>
    <col min="9" max="9" width="9.42578125" style="174" customWidth="1"/>
    <col min="10" max="10" width="6.42578125" style="174" customWidth="1"/>
    <col min="11" max="11" width="6.7109375" style="174" customWidth="1"/>
    <col min="12" max="12" width="7.140625" style="174" customWidth="1"/>
    <col min="13" max="13" width="5" style="174" customWidth="1"/>
    <col min="14" max="14" width="6" style="174" customWidth="1"/>
    <col min="15" max="15" width="6.85546875" style="174" customWidth="1"/>
    <col min="16" max="16" width="8.140625" style="174" customWidth="1"/>
    <col min="17" max="17" width="5.42578125" style="174" customWidth="1"/>
    <col min="18" max="18" width="5.5703125" style="174" customWidth="1"/>
    <col min="19" max="19" width="6.5703125" style="174" customWidth="1"/>
    <col min="20" max="21" width="5.85546875" style="174" customWidth="1"/>
    <col min="22" max="22" width="4.85546875" style="174" customWidth="1"/>
    <col min="23" max="23" width="6.140625" style="174" customWidth="1"/>
    <col min="24" max="24" width="4.85546875" style="174" customWidth="1"/>
    <col min="25" max="25" width="5.85546875" style="174" customWidth="1"/>
    <col min="26" max="26" width="3.140625" style="174" customWidth="1"/>
    <col min="27" max="30" width="9.42578125" style="174" customWidth="1"/>
    <col min="31" max="31" width="2.28515625" style="174" customWidth="1"/>
    <col min="32" max="34" width="9.42578125" style="174" customWidth="1"/>
    <col min="35" max="35" width="3" style="174" customWidth="1"/>
    <col min="36" max="39" width="10.140625" style="174" customWidth="1"/>
    <col min="40" max="40" width="2.42578125" style="174" customWidth="1"/>
    <col min="41" max="43" width="10.140625" style="174" customWidth="1"/>
    <col min="44" max="44" width="2.5703125" style="174" customWidth="1"/>
    <col min="45" max="93" width="10.140625" style="174" customWidth="1"/>
    <col min="94" max="95" width="10" style="174" customWidth="1"/>
    <col min="96" max="96" width="3" style="174" customWidth="1"/>
    <col min="97" max="100" width="9.42578125" style="174" customWidth="1"/>
    <col min="101" max="101" width="2.5703125" style="174" customWidth="1"/>
    <col min="102" max="106" width="10.140625" style="174" customWidth="1"/>
    <col min="107" max="107" width="11" style="174" customWidth="1"/>
    <col min="108" max="108" width="10.7109375" style="174" customWidth="1"/>
    <col min="109" max="109" width="9.42578125" style="174" customWidth="1"/>
    <col min="110" max="110" width="3" style="174" customWidth="1"/>
    <col min="111" max="112" width="11.5703125" style="174"/>
    <col min="113" max="113" width="13.7109375" style="174" customWidth="1"/>
    <col min="114" max="114" width="3.28515625" style="174" customWidth="1"/>
    <col min="115" max="116" width="3.140625" style="174" customWidth="1"/>
    <col min="117" max="118" width="3.28515625" style="174" customWidth="1"/>
    <col min="119" max="119" width="3" style="174" customWidth="1"/>
    <col min="120" max="120" width="3.28515625" style="174" customWidth="1"/>
    <col min="121" max="121" width="2.85546875" style="174" customWidth="1"/>
    <col min="122" max="122" width="3.5703125" style="174" customWidth="1"/>
    <col min="123" max="123" width="3" style="174" customWidth="1"/>
    <col min="124" max="124" width="3.85546875" style="174" customWidth="1"/>
    <col min="125" max="125" width="4.7109375" style="174" customWidth="1"/>
    <col min="126" max="126" width="4.42578125" style="174" customWidth="1"/>
    <col min="127" max="127" width="4.140625" style="174" customWidth="1"/>
    <col min="128" max="128" width="3.7109375" style="174" customWidth="1"/>
    <col min="129" max="129" width="5.5703125" style="174" customWidth="1"/>
    <col min="130" max="130" width="4.28515625" style="174" customWidth="1"/>
    <col min="131" max="132" width="4.7109375" style="174" customWidth="1"/>
    <col min="133" max="133" width="3.42578125" style="174" customWidth="1"/>
    <col min="134" max="134" width="13.7109375" style="174" customWidth="1"/>
    <col min="135" max="135" width="6" style="174" customWidth="1"/>
    <col min="136" max="136" width="6.85546875" style="174" customWidth="1"/>
    <col min="137" max="137" width="6.5703125" style="174" customWidth="1"/>
    <col min="138" max="138" width="10.140625" style="174" customWidth="1"/>
    <col min="139" max="139" width="9.28515625" style="174" customWidth="1"/>
    <col min="140" max="140" width="9.5703125" style="174" customWidth="1"/>
    <col min="141" max="141" width="7.85546875" style="174" customWidth="1"/>
    <col min="142" max="142" width="7.7109375" style="174" customWidth="1"/>
    <col min="143" max="144" width="11.5703125" style="174"/>
    <col min="145" max="145" width="8.5703125" style="174" customWidth="1"/>
    <col min="146" max="146" width="7.85546875" style="174" customWidth="1"/>
    <col min="147" max="147" width="10.140625" style="174" customWidth="1"/>
    <col min="148" max="148" width="8.42578125" style="174" customWidth="1"/>
    <col min="149" max="149" width="7.7109375" style="174" customWidth="1"/>
    <col min="150" max="151" width="7.42578125" style="174" customWidth="1"/>
    <col min="152" max="152" width="8" style="174" customWidth="1"/>
    <col min="153" max="153" width="7.85546875" style="174" customWidth="1"/>
    <col min="154" max="156" width="7.42578125" style="174" customWidth="1"/>
    <col min="157" max="157" width="8.5703125" style="174" customWidth="1"/>
    <col min="158" max="158" width="4.85546875" style="174" customWidth="1"/>
    <col min="159" max="159" width="5.140625" style="174" customWidth="1"/>
    <col min="160" max="160" width="5.42578125" style="174" customWidth="1"/>
    <col min="161" max="161" width="5.140625" style="174" customWidth="1"/>
    <col min="162" max="162" width="6" style="174" customWidth="1"/>
    <col min="163" max="163" width="7" style="174" customWidth="1"/>
    <col min="164" max="164" width="8" style="174" customWidth="1"/>
    <col min="165" max="165" width="8.7109375" style="174" customWidth="1"/>
    <col min="166" max="167" width="6.7109375" style="174" customWidth="1"/>
    <col min="168" max="168" width="7.42578125" style="174" customWidth="1"/>
    <col min="169" max="170" width="7.28515625" style="174" customWidth="1"/>
    <col min="171" max="171" width="7.7109375" style="174" customWidth="1"/>
    <col min="172" max="172" width="6.7109375" style="174" customWidth="1"/>
    <col min="173" max="173" width="10.7109375" style="174" customWidth="1"/>
    <col min="174" max="174" width="11" style="174" customWidth="1"/>
    <col min="175" max="175" width="5.85546875" style="174" customWidth="1"/>
    <col min="176" max="176" width="5.5703125" style="174" customWidth="1"/>
    <col min="177" max="177" width="7.28515625" style="174" customWidth="1"/>
    <col min="178" max="178" width="6" style="174" customWidth="1"/>
    <col min="179" max="179" width="7.42578125" style="174" customWidth="1"/>
    <col min="180" max="180" width="6.5703125" style="174" customWidth="1"/>
    <col min="181" max="181" width="8.42578125" style="174" customWidth="1"/>
    <col min="182" max="182" width="8.28515625" style="174" customWidth="1"/>
    <col min="183" max="208" width="2.42578125" style="174" bestFit="1" customWidth="1"/>
    <col min="209" max="218" width="11.5703125" style="174"/>
    <col min="219" max="219" width="3.7109375" style="174" customWidth="1"/>
    <col min="220" max="243" width="4.42578125" style="174" customWidth="1"/>
    <col min="244" max="244" width="3.7109375" style="174" customWidth="1"/>
    <col min="245" max="246" width="5.28515625" style="174" customWidth="1"/>
    <col min="247" max="247" width="4.42578125" style="174" customWidth="1"/>
    <col min="248" max="248" width="13" style="174" customWidth="1"/>
    <col min="249" max="255" width="4.42578125" style="174" customWidth="1"/>
    <col min="256" max="16384" width="11.5703125" style="174"/>
  </cols>
  <sheetData>
    <row r="1" spans="1:253" ht="13.35" customHeight="1" x14ac:dyDescent="0.2">
      <c r="A1" s="175" t="s">
        <v>770</v>
      </c>
      <c r="B1" s="175" t="s">
        <v>387</v>
      </c>
      <c r="C1" s="175" t="s">
        <v>379</v>
      </c>
      <c r="DJ1" s="174">
        <v>2</v>
      </c>
      <c r="DK1" s="174">
        <v>3</v>
      </c>
      <c r="DL1" s="174">
        <v>4</v>
      </c>
      <c r="DM1" s="174">
        <v>5</v>
      </c>
      <c r="DN1" s="174">
        <v>6</v>
      </c>
      <c r="DO1" s="174">
        <v>7</v>
      </c>
      <c r="DP1" s="174">
        <v>8</v>
      </c>
      <c r="DQ1" s="174">
        <v>9</v>
      </c>
      <c r="DR1" s="174">
        <v>10</v>
      </c>
      <c r="DS1" s="174">
        <v>11</v>
      </c>
      <c r="DT1" s="174">
        <v>12</v>
      </c>
      <c r="DU1" s="174">
        <v>13</v>
      </c>
      <c r="DV1" s="174">
        <v>14</v>
      </c>
      <c r="DW1" s="174">
        <v>15</v>
      </c>
      <c r="DX1" s="174">
        <v>16</v>
      </c>
      <c r="DY1" s="174">
        <v>17</v>
      </c>
      <c r="DZ1" s="174">
        <v>18</v>
      </c>
      <c r="EA1" s="174">
        <v>19</v>
      </c>
      <c r="EB1" s="174">
        <v>20</v>
      </c>
      <c r="EC1" s="174" t="s">
        <v>4194</v>
      </c>
      <c r="EE1" s="174">
        <v>2</v>
      </c>
      <c r="EF1" s="174">
        <v>3</v>
      </c>
      <c r="EG1" s="174">
        <v>4</v>
      </c>
      <c r="EH1" s="174">
        <v>5</v>
      </c>
      <c r="EI1" s="174">
        <v>6</v>
      </c>
      <c r="EJ1" s="174">
        <v>7</v>
      </c>
      <c r="EK1" s="174">
        <v>8</v>
      </c>
      <c r="EL1" s="174">
        <v>9</v>
      </c>
      <c r="EO1" s="174">
        <v>2</v>
      </c>
      <c r="EP1" s="174">
        <v>3</v>
      </c>
      <c r="EQ1" s="174">
        <v>4</v>
      </c>
      <c r="ER1" s="174">
        <v>5</v>
      </c>
      <c r="ES1" s="174">
        <v>6</v>
      </c>
      <c r="ET1" s="174">
        <v>7</v>
      </c>
      <c r="EU1" s="174">
        <v>8</v>
      </c>
      <c r="EV1" s="174">
        <v>9</v>
      </c>
      <c r="EW1" s="174">
        <v>10</v>
      </c>
      <c r="EX1" s="174">
        <v>11</v>
      </c>
      <c r="EY1" s="174">
        <v>12</v>
      </c>
      <c r="EZ1" s="174">
        <v>13</v>
      </c>
      <c r="FA1" s="174">
        <v>14</v>
      </c>
      <c r="FB1" s="174">
        <v>15</v>
      </c>
      <c r="FC1" s="174">
        <v>16</v>
      </c>
      <c r="FD1" s="174">
        <v>17</v>
      </c>
      <c r="FE1" s="174">
        <v>18</v>
      </c>
      <c r="FF1" s="174">
        <v>19</v>
      </c>
      <c r="FG1" s="174">
        <v>20</v>
      </c>
      <c r="FH1" s="174">
        <v>21</v>
      </c>
      <c r="FI1" s="174">
        <v>22</v>
      </c>
      <c r="FJ1" s="174">
        <v>23</v>
      </c>
      <c r="FK1" s="174">
        <v>24</v>
      </c>
      <c r="FL1" s="174">
        <v>25</v>
      </c>
      <c r="FM1" s="174">
        <v>26</v>
      </c>
      <c r="FN1" s="174">
        <v>27</v>
      </c>
      <c r="FO1" s="174">
        <v>28</v>
      </c>
      <c r="FP1" s="174">
        <v>29</v>
      </c>
      <c r="FQ1" s="174">
        <v>30</v>
      </c>
      <c r="FR1" s="174">
        <v>31</v>
      </c>
      <c r="FS1" s="174">
        <v>32</v>
      </c>
      <c r="FT1" s="174">
        <v>33</v>
      </c>
      <c r="FU1" s="174">
        <v>34</v>
      </c>
      <c r="FV1" s="174">
        <v>35</v>
      </c>
      <c r="FW1" s="174">
        <v>36</v>
      </c>
      <c r="FX1" s="174">
        <v>37</v>
      </c>
      <c r="FY1" s="174">
        <v>38</v>
      </c>
      <c r="FZ1" s="174">
        <v>39</v>
      </c>
      <c r="GA1" s="174">
        <v>40</v>
      </c>
      <c r="GB1" s="174">
        <v>41</v>
      </c>
      <c r="GC1" s="174">
        <v>42</v>
      </c>
      <c r="GD1" s="174">
        <v>43</v>
      </c>
      <c r="GE1" s="174">
        <v>44</v>
      </c>
      <c r="GF1" s="174">
        <v>45</v>
      </c>
      <c r="GG1" s="174">
        <v>46</v>
      </c>
      <c r="GH1" s="174">
        <v>47</v>
      </c>
      <c r="GI1" s="174">
        <v>48</v>
      </c>
      <c r="GJ1" s="174">
        <v>49</v>
      </c>
      <c r="GK1" s="174">
        <v>50</v>
      </c>
      <c r="GL1" s="174">
        <v>51</v>
      </c>
      <c r="GM1" s="174">
        <v>52</v>
      </c>
      <c r="GN1" s="174">
        <v>53</v>
      </c>
      <c r="GO1" s="174">
        <v>54</v>
      </c>
      <c r="GP1" s="174">
        <v>55</v>
      </c>
      <c r="GQ1" s="174">
        <v>56</v>
      </c>
      <c r="GR1" s="174">
        <v>57</v>
      </c>
      <c r="GS1" s="174">
        <v>58</v>
      </c>
      <c r="GT1" s="174">
        <v>59</v>
      </c>
      <c r="GU1" s="174">
        <v>60</v>
      </c>
      <c r="GV1" s="174">
        <v>61</v>
      </c>
      <c r="GW1" s="174">
        <v>62</v>
      </c>
      <c r="GX1" s="174">
        <v>63</v>
      </c>
      <c r="GY1" s="174">
        <v>64</v>
      </c>
      <c r="GZ1" s="174">
        <v>65</v>
      </c>
      <c r="HB1" s="176" t="s">
        <v>771</v>
      </c>
      <c r="HC1" s="177" t="s">
        <v>772</v>
      </c>
      <c r="HD1" s="177" t="s">
        <v>773</v>
      </c>
      <c r="HE1" s="178" t="s">
        <v>774</v>
      </c>
      <c r="HF1" s="177" t="s">
        <v>775</v>
      </c>
      <c r="HG1" s="179" t="s">
        <v>776</v>
      </c>
      <c r="HH1" s="180" t="s">
        <v>777</v>
      </c>
      <c r="HI1" s="181" t="s">
        <v>778</v>
      </c>
      <c r="HJ1" s="174" t="s">
        <v>746</v>
      </c>
      <c r="HL1" s="174">
        <v>8654</v>
      </c>
      <c r="HM1" s="174">
        <v>7654</v>
      </c>
      <c r="HN1" s="174">
        <v>7543</v>
      </c>
      <c r="HO1" s="174">
        <v>7532</v>
      </c>
      <c r="HP1" s="174">
        <v>7531</v>
      </c>
      <c r="HQ1" s="174">
        <v>7521</v>
      </c>
      <c r="HR1" s="174">
        <v>7431</v>
      </c>
      <c r="HS1" s="174">
        <v>7421</v>
      </c>
      <c r="HT1" s="174">
        <v>7321</v>
      </c>
      <c r="HU1" s="174">
        <v>6543</v>
      </c>
      <c r="HV1" s="174">
        <v>6531</v>
      </c>
      <c r="HW1" s="174">
        <v>6521</v>
      </c>
      <c r="HX1" s="174">
        <v>6432</v>
      </c>
      <c r="HY1" s="174">
        <v>6421</v>
      </c>
      <c r="HZ1" s="174">
        <v>6321</v>
      </c>
      <c r="IA1" s="174">
        <v>6311</v>
      </c>
      <c r="IB1" s="174">
        <v>5432</v>
      </c>
      <c r="IC1" s="174">
        <v>5322</v>
      </c>
      <c r="ID1" s="174">
        <v>5311</v>
      </c>
      <c r="IE1" s="174">
        <v>4322</v>
      </c>
      <c r="IF1" s="174">
        <v>4321</v>
      </c>
      <c r="IG1" s="174">
        <v>3221</v>
      </c>
      <c r="IH1" s="174">
        <v>3211</v>
      </c>
      <c r="II1" s="174">
        <v>2111</v>
      </c>
      <c r="IJ1" s="174">
        <v>1</v>
      </c>
      <c r="IN1" s="174">
        <v>1</v>
      </c>
      <c r="IO1" s="174">
        <v>2</v>
      </c>
      <c r="IR1" s="174" t="s">
        <v>779</v>
      </c>
      <c r="IS1" s="174" t="s">
        <v>780</v>
      </c>
    </row>
    <row r="2" spans="1:253" ht="13.35" customHeight="1" x14ac:dyDescent="0.2">
      <c r="A2" s="183">
        <v>1</v>
      </c>
      <c r="B2" s="184">
        <f t="shared" ref="B2:B11" si="0">ROUNDDOWN((A2-21)/2,0)</f>
        <v>-10</v>
      </c>
      <c r="C2" s="183">
        <v>1</v>
      </c>
      <c r="E2" s="174" t="s">
        <v>781</v>
      </c>
      <c r="F2" s="174" t="s">
        <v>782</v>
      </c>
      <c r="G2" s="174" t="s">
        <v>783</v>
      </c>
      <c r="H2" s="174" t="s">
        <v>784</v>
      </c>
      <c r="I2" s="174" t="s">
        <v>785</v>
      </c>
      <c r="J2" s="174" t="s">
        <v>786</v>
      </c>
      <c r="K2" s="174" t="s">
        <v>787</v>
      </c>
      <c r="L2" s="174" t="s">
        <v>788</v>
      </c>
      <c r="M2" s="174" t="s">
        <v>789</v>
      </c>
      <c r="N2" s="174" t="s">
        <v>790</v>
      </c>
      <c r="O2" s="174" t="s">
        <v>791</v>
      </c>
      <c r="P2" s="174" t="s">
        <v>792</v>
      </c>
      <c r="Q2" s="174" t="s">
        <v>793</v>
      </c>
      <c r="R2" s="174" t="s">
        <v>794</v>
      </c>
      <c r="S2" s="174" t="s">
        <v>182</v>
      </c>
      <c r="T2" s="174" t="s">
        <v>795</v>
      </c>
      <c r="U2" s="174" t="s">
        <v>796</v>
      </c>
      <c r="V2" s="174" t="s">
        <v>797</v>
      </c>
      <c r="W2" s="174" t="s">
        <v>798</v>
      </c>
      <c r="X2" s="174" t="s">
        <v>799</v>
      </c>
      <c r="Y2" s="174" t="s">
        <v>800</v>
      </c>
      <c r="AA2" s="174" t="s">
        <v>801</v>
      </c>
      <c r="AB2" s="174" t="s">
        <v>802</v>
      </c>
      <c r="AC2" s="174" t="s">
        <v>803</v>
      </c>
      <c r="AD2" s="174" t="s">
        <v>804</v>
      </c>
      <c r="AF2" s="174" t="s">
        <v>805</v>
      </c>
      <c r="AG2" s="174" t="s">
        <v>806</v>
      </c>
      <c r="AH2" s="174" t="s">
        <v>807</v>
      </c>
      <c r="AJ2" s="174" t="s">
        <v>808</v>
      </c>
      <c r="AK2" s="174" t="s">
        <v>809</v>
      </c>
      <c r="AL2" s="174" t="s">
        <v>810</v>
      </c>
      <c r="AM2" s="174" t="s">
        <v>811</v>
      </c>
      <c r="AO2" s="174" t="s">
        <v>812</v>
      </c>
      <c r="AP2" s="174" t="s">
        <v>813</v>
      </c>
      <c r="AQ2" s="174" t="s">
        <v>814</v>
      </c>
      <c r="AS2" s="174" t="s">
        <v>815</v>
      </c>
      <c r="AT2" s="174" t="s">
        <v>816</v>
      </c>
      <c r="AU2" s="174" t="s">
        <v>817</v>
      </c>
      <c r="AV2" s="174" t="s">
        <v>818</v>
      </c>
      <c r="AW2" s="174" t="s">
        <v>819</v>
      </c>
      <c r="AX2" s="174" t="s">
        <v>820</v>
      </c>
      <c r="AY2" s="174" t="s">
        <v>821</v>
      </c>
      <c r="AZ2" s="174" t="s">
        <v>822</v>
      </c>
      <c r="BA2" s="174" t="s">
        <v>823</v>
      </c>
      <c r="BB2" s="174" t="s">
        <v>824</v>
      </c>
      <c r="BC2" s="174" t="s">
        <v>825</v>
      </c>
      <c r="BD2" s="174" t="s">
        <v>826</v>
      </c>
      <c r="BE2" s="174" t="s">
        <v>827</v>
      </c>
      <c r="BF2" s="174" t="s">
        <v>828</v>
      </c>
      <c r="BG2" s="174" t="s">
        <v>829</v>
      </c>
      <c r="BH2" s="174" t="s">
        <v>830</v>
      </c>
      <c r="BI2" s="174" t="s">
        <v>831</v>
      </c>
      <c r="BJ2" s="174" t="s">
        <v>832</v>
      </c>
      <c r="BK2" s="174" t="s">
        <v>833</v>
      </c>
      <c r="BL2" s="174" t="s">
        <v>834</v>
      </c>
      <c r="BM2" s="174" t="s">
        <v>835</v>
      </c>
      <c r="BN2" s="174" t="s">
        <v>836</v>
      </c>
      <c r="BO2" s="174" t="s">
        <v>837</v>
      </c>
      <c r="BP2" s="174" t="s">
        <v>838</v>
      </c>
      <c r="BQ2" s="174" t="s">
        <v>839</v>
      </c>
      <c r="BR2" s="174" t="s">
        <v>840</v>
      </c>
      <c r="BS2" s="174" t="s">
        <v>841</v>
      </c>
      <c r="BT2" s="174" t="s">
        <v>842</v>
      </c>
      <c r="BU2" s="174" t="s">
        <v>843</v>
      </c>
      <c r="BV2" s="174" t="s">
        <v>844</v>
      </c>
      <c r="BW2" s="174" t="s">
        <v>845</v>
      </c>
      <c r="BX2" s="174" t="s">
        <v>846</v>
      </c>
      <c r="BY2" s="174" t="s">
        <v>847</v>
      </c>
      <c r="BZ2" s="174" t="s">
        <v>848</v>
      </c>
      <c r="CA2" s="174" t="s">
        <v>849</v>
      </c>
      <c r="CB2" s="174" t="s">
        <v>850</v>
      </c>
      <c r="CC2" s="174" t="s">
        <v>851</v>
      </c>
      <c r="CD2" s="174" t="s">
        <v>852</v>
      </c>
      <c r="CE2" s="174" t="s">
        <v>853</v>
      </c>
      <c r="CF2" s="174" t="s">
        <v>854</v>
      </c>
      <c r="CG2" s="174" t="s">
        <v>855</v>
      </c>
      <c r="CH2" s="174" t="s">
        <v>856</v>
      </c>
      <c r="CI2" s="174" t="s">
        <v>857</v>
      </c>
      <c r="CJ2" s="174" t="s">
        <v>858</v>
      </c>
      <c r="CK2" s="174" t="s">
        <v>859</v>
      </c>
      <c r="CL2" s="174" t="s">
        <v>860</v>
      </c>
      <c r="CM2" s="174" t="s">
        <v>861</v>
      </c>
      <c r="CN2" s="174" t="s">
        <v>862</v>
      </c>
      <c r="CO2" s="174" t="s">
        <v>863</v>
      </c>
      <c r="CP2" s="174" t="s">
        <v>864</v>
      </c>
      <c r="CQ2" s="174" t="s">
        <v>865</v>
      </c>
      <c r="CS2" s="174" t="s">
        <v>866</v>
      </c>
      <c r="CT2" s="174" t="s">
        <v>867</v>
      </c>
      <c r="CU2" s="174" t="s">
        <v>868</v>
      </c>
      <c r="CV2" s="174" t="s">
        <v>869</v>
      </c>
      <c r="CX2" s="174" t="s">
        <v>870</v>
      </c>
      <c r="CY2" s="174" t="s">
        <v>871</v>
      </c>
      <c r="CZ2" s="174" t="s">
        <v>872</v>
      </c>
      <c r="DA2" s="174" t="s">
        <v>873</v>
      </c>
      <c r="DB2" s="174" t="s">
        <v>874</v>
      </c>
      <c r="DC2" s="174" t="s">
        <v>875</v>
      </c>
      <c r="DD2" s="174" t="s">
        <v>876</v>
      </c>
      <c r="DE2" s="174" t="s">
        <v>877</v>
      </c>
      <c r="DH2" s="269" t="s">
        <v>4179</v>
      </c>
      <c r="DI2" s="182" t="s">
        <v>208</v>
      </c>
      <c r="DJ2" s="174" t="s">
        <v>445</v>
      </c>
      <c r="DK2" s="174" t="s">
        <v>408</v>
      </c>
      <c r="DL2" s="174" t="s">
        <v>878</v>
      </c>
      <c r="DM2" s="174" t="s">
        <v>418</v>
      </c>
      <c r="DN2" s="174" t="s">
        <v>432</v>
      </c>
      <c r="DO2" s="174" t="s">
        <v>403</v>
      </c>
      <c r="DP2" s="174" t="s">
        <v>451</v>
      </c>
      <c r="DQ2" s="174" t="s">
        <v>428</v>
      </c>
      <c r="DR2" s="174" t="s">
        <v>481</v>
      </c>
      <c r="DS2" s="174" t="s">
        <v>464</v>
      </c>
      <c r="DT2" s="174" t="s">
        <v>879</v>
      </c>
      <c r="DU2" s="174" t="s">
        <v>880</v>
      </c>
      <c r="DV2" s="174" t="s">
        <v>881</v>
      </c>
      <c r="DW2" s="174" t="s">
        <v>882</v>
      </c>
      <c r="DX2" s="174" t="s">
        <v>883</v>
      </c>
      <c r="DY2" s="174" t="s">
        <v>884</v>
      </c>
      <c r="DZ2" s="174" t="s">
        <v>885</v>
      </c>
      <c r="EA2" s="174" t="s">
        <v>886</v>
      </c>
      <c r="EB2" s="174" t="s">
        <v>186</v>
      </c>
      <c r="ED2" s="174" t="s">
        <v>208</v>
      </c>
      <c r="EE2" s="174" t="s">
        <v>242</v>
      </c>
      <c r="EF2" s="174" t="s">
        <v>243</v>
      </c>
      <c r="EG2" s="174" t="s">
        <v>244</v>
      </c>
      <c r="EH2" s="174" t="s">
        <v>887</v>
      </c>
      <c r="EI2" s="174" t="s">
        <v>888</v>
      </c>
      <c r="EJ2" s="174" t="s">
        <v>889</v>
      </c>
      <c r="EK2" s="174" t="s">
        <v>890</v>
      </c>
      <c r="EL2" s="174" t="s">
        <v>506</v>
      </c>
      <c r="EO2" s="268" t="s">
        <v>4193</v>
      </c>
      <c r="EP2" s="268" t="s">
        <v>916</v>
      </c>
      <c r="EQ2" s="268" t="s">
        <v>916</v>
      </c>
      <c r="ER2" s="268" t="s">
        <v>895</v>
      </c>
      <c r="ES2" s="268" t="s">
        <v>895</v>
      </c>
      <c r="ET2" s="268" t="s">
        <v>895</v>
      </c>
      <c r="EU2" s="268" t="s">
        <v>4055</v>
      </c>
      <c r="EV2" s="268" t="s">
        <v>4055</v>
      </c>
      <c r="EW2" s="268" t="s">
        <v>4055</v>
      </c>
      <c r="EX2" s="268" t="s">
        <v>4055</v>
      </c>
      <c r="EY2" s="268" t="s">
        <v>4055</v>
      </c>
      <c r="EZ2" s="268" t="s">
        <v>4055</v>
      </c>
      <c r="FA2" s="268" t="s">
        <v>4184</v>
      </c>
      <c r="FB2" s="268" t="s">
        <v>4184</v>
      </c>
      <c r="FC2" s="268" t="s">
        <v>4184</v>
      </c>
      <c r="FD2" s="268" t="s">
        <v>905</v>
      </c>
      <c r="FE2" s="268" t="s">
        <v>905</v>
      </c>
      <c r="FF2" s="268" t="s">
        <v>905</v>
      </c>
      <c r="FG2" s="268" t="s">
        <v>4186</v>
      </c>
      <c r="FH2" s="268" t="s">
        <v>4186</v>
      </c>
      <c r="FI2" s="268" t="s">
        <v>4186</v>
      </c>
      <c r="FJ2" s="268" t="s">
        <v>4186</v>
      </c>
      <c r="FK2" s="268" t="s">
        <v>4186</v>
      </c>
      <c r="FL2" s="268" t="s">
        <v>4186</v>
      </c>
      <c r="FM2" s="268" t="s">
        <v>4186</v>
      </c>
      <c r="FN2" s="268" t="s">
        <v>4186</v>
      </c>
      <c r="FO2" s="268" t="s">
        <v>4186</v>
      </c>
      <c r="FP2" s="268" t="s">
        <v>4186</v>
      </c>
      <c r="FQ2" s="268" t="s">
        <v>4186</v>
      </c>
      <c r="FR2" s="268" t="s">
        <v>4186</v>
      </c>
      <c r="FS2" s="268" t="s">
        <v>4186</v>
      </c>
      <c r="FT2" s="268" t="s">
        <v>4186</v>
      </c>
      <c r="FU2" s="268" t="s">
        <v>4186</v>
      </c>
      <c r="FV2" s="268" t="s">
        <v>4186</v>
      </c>
      <c r="FW2" s="268" t="s">
        <v>4186</v>
      </c>
      <c r="FX2" s="268" t="s">
        <v>4186</v>
      </c>
      <c r="FY2" s="268" t="s">
        <v>1013</v>
      </c>
      <c r="FZ2" s="268" t="s">
        <v>1013</v>
      </c>
      <c r="GA2" s="185"/>
      <c r="GB2" s="185"/>
      <c r="GC2" s="185"/>
      <c r="GE2" s="185"/>
      <c r="GF2" s="185"/>
      <c r="GG2" s="185"/>
      <c r="GH2" s="185"/>
      <c r="GI2" s="185"/>
      <c r="GJ2" s="185"/>
      <c r="GK2" s="185"/>
      <c r="GL2" s="185"/>
      <c r="GM2" s="185"/>
      <c r="GN2" s="185"/>
      <c r="GO2" s="185"/>
      <c r="GP2" s="185"/>
      <c r="GQ2" s="185"/>
      <c r="HB2" s="186" t="s">
        <v>918</v>
      </c>
      <c r="HC2" s="187" t="s">
        <v>919</v>
      </c>
      <c r="HD2" s="187" t="s">
        <v>920</v>
      </c>
      <c r="HE2" s="187" t="s">
        <v>921</v>
      </c>
      <c r="HF2" s="187" t="s">
        <v>922</v>
      </c>
      <c r="HG2" s="187" t="s">
        <v>923</v>
      </c>
      <c r="HH2" s="187" t="s">
        <v>924</v>
      </c>
      <c r="HI2" s="188" t="s">
        <v>925</v>
      </c>
      <c r="HJ2" s="187" t="s">
        <v>926</v>
      </c>
      <c r="HK2" s="174">
        <v>0</v>
      </c>
      <c r="HL2" s="174">
        <v>0</v>
      </c>
      <c r="HM2" s="174">
        <v>0</v>
      </c>
      <c r="HN2" s="174">
        <v>0</v>
      </c>
      <c r="HO2" s="174">
        <v>0</v>
      </c>
      <c r="HP2" s="174">
        <v>0</v>
      </c>
      <c r="HQ2" s="174">
        <v>0</v>
      </c>
      <c r="HR2" s="174">
        <v>0</v>
      </c>
      <c r="HS2" s="174">
        <v>0</v>
      </c>
      <c r="HT2" s="174">
        <v>0</v>
      </c>
      <c r="HU2" s="174">
        <v>0</v>
      </c>
      <c r="HV2" s="174">
        <v>0</v>
      </c>
      <c r="HW2" s="174">
        <v>0</v>
      </c>
      <c r="HX2" s="174">
        <v>0</v>
      </c>
      <c r="HY2" s="174">
        <v>0</v>
      </c>
      <c r="HZ2" s="174">
        <v>0</v>
      </c>
      <c r="IA2" s="174">
        <v>0</v>
      </c>
      <c r="IB2" s="174">
        <v>0</v>
      </c>
      <c r="IC2" s="174">
        <v>0</v>
      </c>
      <c r="ID2" s="174">
        <v>0</v>
      </c>
      <c r="IE2" s="174">
        <v>0</v>
      </c>
      <c r="IF2" s="174">
        <v>0</v>
      </c>
      <c r="IG2" s="174">
        <v>0</v>
      </c>
      <c r="IH2" s="174">
        <v>0</v>
      </c>
      <c r="II2" s="174">
        <v>0</v>
      </c>
      <c r="IJ2" s="174">
        <v>2</v>
      </c>
      <c r="IN2" s="174">
        <f>Skills!K312</f>
        <v>-14.509999000000001</v>
      </c>
      <c r="IO2" s="174" t="str">
        <f>Skills!B312</f>
        <v>1-H Krush</v>
      </c>
      <c r="IR2" s="174">
        <v>0</v>
      </c>
      <c r="IS2" s="174">
        <v>0</v>
      </c>
    </row>
    <row r="3" spans="1:253" ht="13.35" customHeight="1" x14ac:dyDescent="0.2">
      <c r="A3" s="183">
        <f t="shared" ref="A3:A34" si="1">A2+1</f>
        <v>2</v>
      </c>
      <c r="B3" s="184">
        <f t="shared" si="0"/>
        <v>-9</v>
      </c>
      <c r="C3" s="183">
        <f t="shared" ref="C3:C34" si="2">C2+1</f>
        <v>2</v>
      </c>
      <c r="E3" s="189" t="s">
        <v>399</v>
      </c>
      <c r="F3" s="190" t="s">
        <v>927</v>
      </c>
      <c r="G3" s="190" t="s">
        <v>928</v>
      </c>
      <c r="H3" s="190" t="s">
        <v>929</v>
      </c>
      <c r="I3" s="190" t="s">
        <v>930</v>
      </c>
      <c r="J3" s="190" t="s">
        <v>928</v>
      </c>
      <c r="K3" s="190" t="s">
        <v>931</v>
      </c>
      <c r="L3" s="190" t="s">
        <v>931</v>
      </c>
      <c r="M3" s="190" t="s">
        <v>931</v>
      </c>
      <c r="N3" s="190" t="s">
        <v>931</v>
      </c>
      <c r="O3" s="190" t="s">
        <v>932</v>
      </c>
      <c r="P3" s="190" t="s">
        <v>933</v>
      </c>
      <c r="Q3" s="190" t="s">
        <v>932</v>
      </c>
      <c r="R3" s="190" t="s">
        <v>932</v>
      </c>
      <c r="S3" s="190" t="s">
        <v>931</v>
      </c>
      <c r="T3" s="190" t="s">
        <v>933</v>
      </c>
      <c r="U3" s="190" t="s">
        <v>929</v>
      </c>
      <c r="V3" s="190" t="s">
        <v>931</v>
      </c>
      <c r="W3" s="190" t="s">
        <v>931</v>
      </c>
      <c r="X3" s="190" t="s">
        <v>933</v>
      </c>
      <c r="Y3" s="190" t="s">
        <v>934</v>
      </c>
      <c r="Z3" s="190"/>
      <c r="AA3" s="190" t="s">
        <v>931</v>
      </c>
      <c r="AB3" s="190" t="s">
        <v>931</v>
      </c>
      <c r="AC3" s="190" t="s">
        <v>935</v>
      </c>
      <c r="AD3" s="190" t="s">
        <v>932</v>
      </c>
      <c r="AE3" s="190"/>
      <c r="AF3" s="190" t="s">
        <v>931</v>
      </c>
      <c r="AG3" s="190" t="s">
        <v>931</v>
      </c>
      <c r="AH3" s="190" t="s">
        <v>930</v>
      </c>
      <c r="AI3" s="190"/>
      <c r="AJ3" s="190" t="s">
        <v>928</v>
      </c>
      <c r="AK3" s="190" t="s">
        <v>932</v>
      </c>
      <c r="AL3" s="190" t="s">
        <v>932</v>
      </c>
      <c r="AM3" s="190" t="s">
        <v>932</v>
      </c>
      <c r="AN3" s="190"/>
      <c r="AO3" s="190" t="s">
        <v>931</v>
      </c>
      <c r="AP3" s="190" t="s">
        <v>932</v>
      </c>
      <c r="AQ3" s="190" t="s">
        <v>932</v>
      </c>
      <c r="AR3" s="190"/>
      <c r="AS3" s="190" t="s">
        <v>931</v>
      </c>
      <c r="AT3" s="190" t="s">
        <v>931</v>
      </c>
      <c r="AU3" s="190" t="s">
        <v>931</v>
      </c>
      <c r="AV3" s="190" t="s">
        <v>931</v>
      </c>
      <c r="AW3" s="190" t="s">
        <v>931</v>
      </c>
      <c r="AX3" s="190" t="s">
        <v>931</v>
      </c>
      <c r="AY3" s="190" t="s">
        <v>931</v>
      </c>
      <c r="AZ3" s="190" t="s">
        <v>931</v>
      </c>
      <c r="BA3" s="190" t="s">
        <v>931</v>
      </c>
      <c r="BB3" s="190" t="s">
        <v>931</v>
      </c>
      <c r="BC3" s="190" t="s">
        <v>931</v>
      </c>
      <c r="BD3" s="190" t="s">
        <v>931</v>
      </c>
      <c r="BE3" s="190" t="s">
        <v>931</v>
      </c>
      <c r="BF3" s="190" t="s">
        <v>931</v>
      </c>
      <c r="BG3" s="190" t="s">
        <v>931</v>
      </c>
      <c r="BH3" s="190" t="s">
        <v>931</v>
      </c>
      <c r="BI3" s="190" t="s">
        <v>931</v>
      </c>
      <c r="BJ3" s="190" t="s">
        <v>931</v>
      </c>
      <c r="BK3" s="190" t="s">
        <v>931</v>
      </c>
      <c r="BL3" s="190" t="s">
        <v>931</v>
      </c>
      <c r="BM3" s="190" t="s">
        <v>931</v>
      </c>
      <c r="BN3" s="190" t="s">
        <v>931</v>
      </c>
      <c r="BO3" s="190" t="s">
        <v>931</v>
      </c>
      <c r="BP3" s="190" t="s">
        <v>931</v>
      </c>
      <c r="BQ3" s="190" t="s">
        <v>931</v>
      </c>
      <c r="BR3" s="190" t="s">
        <v>931</v>
      </c>
      <c r="BS3" s="190" t="s">
        <v>931</v>
      </c>
      <c r="BT3" s="190" t="s">
        <v>931</v>
      </c>
      <c r="BU3" s="190" t="s">
        <v>931</v>
      </c>
      <c r="BV3" s="190" t="s">
        <v>931</v>
      </c>
      <c r="BW3" s="190" t="s">
        <v>931</v>
      </c>
      <c r="BX3" s="190" t="s">
        <v>931</v>
      </c>
      <c r="BY3" s="190" t="s">
        <v>931</v>
      </c>
      <c r="BZ3" s="190" t="s">
        <v>931</v>
      </c>
      <c r="CA3" s="190" t="s">
        <v>931</v>
      </c>
      <c r="CB3" s="190" t="s">
        <v>931</v>
      </c>
      <c r="CC3" s="190" t="s">
        <v>931</v>
      </c>
      <c r="CD3" s="190" t="s">
        <v>931</v>
      </c>
      <c r="CE3" s="190" t="s">
        <v>931</v>
      </c>
      <c r="CF3" s="190" t="s">
        <v>931</v>
      </c>
      <c r="CG3" s="190" t="s">
        <v>931</v>
      </c>
      <c r="CH3" s="190" t="s">
        <v>931</v>
      </c>
      <c r="CI3" s="190" t="s">
        <v>931</v>
      </c>
      <c r="CJ3" s="190" t="s">
        <v>931</v>
      </c>
      <c r="CK3" s="190" t="s">
        <v>931</v>
      </c>
      <c r="CL3" s="190" t="s">
        <v>931</v>
      </c>
      <c r="CM3" s="190" t="s">
        <v>931</v>
      </c>
      <c r="CN3" s="190" t="s">
        <v>931</v>
      </c>
      <c r="CO3" s="190" t="s">
        <v>931</v>
      </c>
      <c r="CP3" s="190" t="s">
        <v>931</v>
      </c>
      <c r="CQ3" s="190" t="s">
        <v>931</v>
      </c>
      <c r="CR3" s="190"/>
      <c r="CS3" s="190" t="s">
        <v>930</v>
      </c>
      <c r="CT3" s="190" t="s">
        <v>928</v>
      </c>
      <c r="CU3" s="190" t="s">
        <v>931</v>
      </c>
      <c r="CV3" s="190" t="s">
        <v>934</v>
      </c>
      <c r="CW3" s="190"/>
      <c r="CX3" s="190" t="s">
        <v>933</v>
      </c>
      <c r="CY3" s="190" t="s">
        <v>931</v>
      </c>
      <c r="CZ3" s="190" t="s">
        <v>931</v>
      </c>
      <c r="DA3" s="190" t="s">
        <v>930</v>
      </c>
      <c r="DB3" s="190" t="s">
        <v>933</v>
      </c>
      <c r="DC3" s="190" t="s">
        <v>931</v>
      </c>
      <c r="DD3" s="190" t="s">
        <v>933</v>
      </c>
      <c r="DE3" s="190"/>
      <c r="DF3" s="174">
        <v>2</v>
      </c>
      <c r="DH3" s="268" t="s">
        <v>4193</v>
      </c>
      <c r="DI3" s="268" t="s">
        <v>4193</v>
      </c>
      <c r="DJ3" s="268">
        <v>4</v>
      </c>
      <c r="DK3" s="268">
        <v>-2</v>
      </c>
      <c r="DL3" s="268">
        <v>-5</v>
      </c>
      <c r="DM3" s="268"/>
      <c r="DN3" s="268"/>
      <c r="DO3" s="268">
        <v>6</v>
      </c>
      <c r="DP3" s="268">
        <v>-2</v>
      </c>
      <c r="DQ3" s="268">
        <v>2</v>
      </c>
      <c r="DR3" s="268">
        <v>2</v>
      </c>
      <c r="DS3" s="268">
        <v>2</v>
      </c>
      <c r="DT3" s="268">
        <v>20</v>
      </c>
      <c r="DU3" s="268">
        <v>20</v>
      </c>
      <c r="DV3" s="268">
        <v>20</v>
      </c>
      <c r="DW3" s="268">
        <v>20</v>
      </c>
      <c r="DX3" s="268">
        <v>50</v>
      </c>
      <c r="DY3" s="268">
        <v>1</v>
      </c>
      <c r="DZ3" s="268">
        <v>4</v>
      </c>
      <c r="EA3" s="268">
        <v>1</v>
      </c>
      <c r="EB3" s="268">
        <v>30</v>
      </c>
      <c r="EC3" s="174">
        <f>SUM(DJ3:DS3)</f>
        <v>7</v>
      </c>
      <c r="ED3" s="268" t="s">
        <v>4181</v>
      </c>
      <c r="EE3" s="174">
        <v>7654</v>
      </c>
      <c r="EF3" s="174">
        <v>6543</v>
      </c>
      <c r="EG3" s="174">
        <v>6543</v>
      </c>
      <c r="EH3" s="174">
        <v>6543</v>
      </c>
      <c r="EI3" s="174">
        <v>6543</v>
      </c>
      <c r="EJ3" s="174">
        <v>6543</v>
      </c>
      <c r="EK3" s="174">
        <v>6543</v>
      </c>
      <c r="EL3" s="174">
        <v>6311</v>
      </c>
      <c r="EO3" s="268" t="s">
        <v>4193</v>
      </c>
      <c r="EP3" s="268" t="s">
        <v>977</v>
      </c>
      <c r="EQ3" s="268" t="s">
        <v>976</v>
      </c>
      <c r="ER3" s="268" t="s">
        <v>4360</v>
      </c>
      <c r="ES3" s="268" t="s">
        <v>4359</v>
      </c>
      <c r="ET3" s="268" t="s">
        <v>4364</v>
      </c>
      <c r="EU3" s="268" t="s">
        <v>4181</v>
      </c>
      <c r="EV3" s="268" t="s">
        <v>899</v>
      </c>
      <c r="EW3" s="268" t="s">
        <v>4172</v>
      </c>
      <c r="EX3" s="268" t="s">
        <v>4171</v>
      </c>
      <c r="EY3" s="268" t="s">
        <v>4180</v>
      </c>
      <c r="EZ3" s="268" t="s">
        <v>4173</v>
      </c>
      <c r="FA3" s="268" t="s">
        <v>4183</v>
      </c>
      <c r="FB3" s="268" t="s">
        <v>4349</v>
      </c>
      <c r="FC3" s="268" t="s">
        <v>4185</v>
      </c>
      <c r="FD3" s="268" t="s">
        <v>4361</v>
      </c>
      <c r="FE3" s="268" t="s">
        <v>4393</v>
      </c>
      <c r="FF3" s="268" t="s">
        <v>4371</v>
      </c>
      <c r="FG3" s="268" t="s">
        <v>4269</v>
      </c>
      <c r="FH3" s="268" t="s">
        <v>4197</v>
      </c>
      <c r="FI3" s="268" t="s">
        <v>4187</v>
      </c>
      <c r="FJ3" s="268" t="s">
        <v>4188</v>
      </c>
      <c r="FK3" s="268" t="s">
        <v>4195</v>
      </c>
      <c r="FL3" s="268" t="s">
        <v>4198</v>
      </c>
      <c r="FM3" s="268" t="s">
        <v>4199</v>
      </c>
      <c r="FN3" s="268" t="s">
        <v>4200</v>
      </c>
      <c r="FO3" s="268" t="s">
        <v>4189</v>
      </c>
      <c r="FP3" s="268" t="s">
        <v>4388</v>
      </c>
      <c r="FQ3" s="268" t="s">
        <v>4190</v>
      </c>
      <c r="FR3" s="268" t="s">
        <v>4201</v>
      </c>
      <c r="FS3" s="268" t="s">
        <v>4191</v>
      </c>
      <c r="FT3" s="268" t="s">
        <v>4202</v>
      </c>
      <c r="FU3" s="268" t="s">
        <v>4192</v>
      </c>
      <c r="FV3" s="268" t="s">
        <v>4203</v>
      </c>
      <c r="FW3" s="268" t="s">
        <v>4377</v>
      </c>
      <c r="FX3" s="268" t="s">
        <v>4204</v>
      </c>
      <c r="FY3" s="268" t="s">
        <v>913</v>
      </c>
      <c r="FZ3" s="268" t="s">
        <v>1058</v>
      </c>
      <c r="GA3" s="185"/>
      <c r="GB3" s="185"/>
      <c r="GC3" s="185"/>
      <c r="GE3" s="185"/>
      <c r="GF3" s="185"/>
      <c r="GG3" s="185"/>
      <c r="GH3" s="185"/>
      <c r="GI3" s="185"/>
      <c r="GJ3" s="185"/>
      <c r="GK3" s="185"/>
      <c r="GL3" s="185"/>
      <c r="GM3" s="185"/>
      <c r="GN3" s="185"/>
      <c r="GO3" s="185"/>
      <c r="GP3" s="185"/>
      <c r="GQ3" s="185"/>
      <c r="HA3" s="174">
        <v>2</v>
      </c>
      <c r="HB3" s="191">
        <v>0</v>
      </c>
      <c r="HC3" s="192">
        <v>-15</v>
      </c>
      <c r="HD3" s="192">
        <v>-15</v>
      </c>
      <c r="HE3" s="193">
        <v>0</v>
      </c>
      <c r="HF3" s="192">
        <v>-30</v>
      </c>
      <c r="HG3" s="194">
        <f t="shared" ref="HG3:HG66" si="3">HLOOKUP($B$154,$HK$1:$IJ$202,$IJ2,0)</f>
        <v>0</v>
      </c>
      <c r="HH3" s="183" t="e">
        <f>HLOOKUP($B$155,$HK1:$IK202,$IJ2,0)</f>
        <v>#REF!</v>
      </c>
      <c r="HI3" s="195">
        <v>0</v>
      </c>
      <c r="HJ3" s="185">
        <v>-30</v>
      </c>
      <c r="HK3" s="174">
        <v>1</v>
      </c>
      <c r="HL3" s="174">
        <f>HL2+8</f>
        <v>8</v>
      </c>
      <c r="HM3" s="174">
        <f t="shared" ref="HM3:HT3" si="4">HM2+7</f>
        <v>7</v>
      </c>
      <c r="HN3" s="174">
        <f t="shared" si="4"/>
        <v>7</v>
      </c>
      <c r="HO3" s="174">
        <f t="shared" si="4"/>
        <v>7</v>
      </c>
      <c r="HP3" s="174">
        <f t="shared" si="4"/>
        <v>7</v>
      </c>
      <c r="HQ3" s="174">
        <f t="shared" si="4"/>
        <v>7</v>
      </c>
      <c r="HR3" s="174">
        <f t="shared" si="4"/>
        <v>7</v>
      </c>
      <c r="HS3" s="174">
        <f t="shared" si="4"/>
        <v>7</v>
      </c>
      <c r="HT3" s="174">
        <f t="shared" si="4"/>
        <v>7</v>
      </c>
      <c r="HU3" s="174">
        <f t="shared" ref="HU3:IA3" si="5">HU2+6</f>
        <v>6</v>
      </c>
      <c r="HV3" s="174">
        <f t="shared" si="5"/>
        <v>6</v>
      </c>
      <c r="HW3" s="174">
        <f t="shared" si="5"/>
        <v>6</v>
      </c>
      <c r="HX3" s="174">
        <f t="shared" si="5"/>
        <v>6</v>
      </c>
      <c r="HY3" s="174">
        <f t="shared" si="5"/>
        <v>6</v>
      </c>
      <c r="HZ3" s="174">
        <f t="shared" si="5"/>
        <v>6</v>
      </c>
      <c r="IA3" s="174">
        <f t="shared" si="5"/>
        <v>6</v>
      </c>
      <c r="IB3" s="174">
        <f>IB2+5</f>
        <v>5</v>
      </c>
      <c r="IC3" s="174">
        <f>IC2+5</f>
        <v>5</v>
      </c>
      <c r="ID3" s="174">
        <f>ID2+5</f>
        <v>5</v>
      </c>
      <c r="IE3" s="174">
        <f>IE2+4</f>
        <v>4</v>
      </c>
      <c r="IF3" s="174">
        <f>IF2+4</f>
        <v>4</v>
      </c>
      <c r="IG3" s="174">
        <f>IG2+3</f>
        <v>3</v>
      </c>
      <c r="IH3" s="174">
        <f>IH2+3</f>
        <v>3</v>
      </c>
      <c r="II3" s="174">
        <f>II2+2</f>
        <v>2</v>
      </c>
      <c r="IJ3" s="174">
        <v>3</v>
      </c>
      <c r="IN3" s="174">
        <f>Skills!K313</f>
        <v>-14.509998</v>
      </c>
      <c r="IO3" s="174" t="str">
        <f>Skills!B313</f>
        <v>1-H Krush</v>
      </c>
      <c r="IR3" s="174">
        <v>10000</v>
      </c>
      <c r="IS3" s="174">
        <v>1</v>
      </c>
    </row>
    <row r="4" spans="1:253" ht="13.35" customHeight="1" x14ac:dyDescent="0.2">
      <c r="A4" s="183">
        <f t="shared" si="1"/>
        <v>3</v>
      </c>
      <c r="B4" s="184">
        <f t="shared" si="0"/>
        <v>-9</v>
      </c>
      <c r="C4" s="183">
        <f t="shared" si="2"/>
        <v>3</v>
      </c>
      <c r="E4" s="196" t="s">
        <v>405</v>
      </c>
      <c r="F4" s="190" t="s">
        <v>986</v>
      </c>
      <c r="G4" s="190" t="s">
        <v>927</v>
      </c>
      <c r="H4" s="190" t="s">
        <v>986</v>
      </c>
      <c r="I4" s="190" t="s">
        <v>987</v>
      </c>
      <c r="J4" s="190" t="s">
        <v>927</v>
      </c>
      <c r="K4" s="190" t="s">
        <v>987</v>
      </c>
      <c r="L4" s="190" t="s">
        <v>987</v>
      </c>
      <c r="M4" s="190" t="s">
        <v>927</v>
      </c>
      <c r="N4" s="190" t="s">
        <v>927</v>
      </c>
      <c r="O4" s="190" t="s">
        <v>928</v>
      </c>
      <c r="P4" s="190" t="s">
        <v>927</v>
      </c>
      <c r="Q4" s="190" t="s">
        <v>928</v>
      </c>
      <c r="R4" s="190" t="s">
        <v>928</v>
      </c>
      <c r="S4" s="190" t="s">
        <v>987</v>
      </c>
      <c r="T4" s="190" t="s">
        <v>927</v>
      </c>
      <c r="U4" s="190" t="s">
        <v>986</v>
      </c>
      <c r="V4" s="190" t="s">
        <v>987</v>
      </c>
      <c r="W4" s="190" t="s">
        <v>933</v>
      </c>
      <c r="X4" s="190" t="s">
        <v>927</v>
      </c>
      <c r="Y4" s="190" t="s">
        <v>927</v>
      </c>
      <c r="Z4" s="190"/>
      <c r="AA4" s="190" t="s">
        <v>987</v>
      </c>
      <c r="AB4" s="190" t="s">
        <v>987</v>
      </c>
      <c r="AC4" s="190" t="s">
        <v>934</v>
      </c>
      <c r="AD4" s="190" t="s">
        <v>933</v>
      </c>
      <c r="AE4" s="190"/>
      <c r="AF4" s="190" t="s">
        <v>987</v>
      </c>
      <c r="AG4" s="190" t="s">
        <v>987</v>
      </c>
      <c r="AH4" s="190" t="s">
        <v>988</v>
      </c>
      <c r="AI4" s="190"/>
      <c r="AJ4" s="190" t="s">
        <v>986</v>
      </c>
      <c r="AK4" s="190" t="s">
        <v>928</v>
      </c>
      <c r="AL4" s="190" t="s">
        <v>928</v>
      </c>
      <c r="AM4" s="190" t="s">
        <v>928</v>
      </c>
      <c r="AN4" s="190"/>
      <c r="AO4" s="190" t="s">
        <v>987</v>
      </c>
      <c r="AP4" s="190" t="s">
        <v>928</v>
      </c>
      <c r="AQ4" s="190" t="s">
        <v>929</v>
      </c>
      <c r="AR4" s="190"/>
      <c r="AS4" s="190" t="s">
        <v>929</v>
      </c>
      <c r="AT4" s="190" t="s">
        <v>929</v>
      </c>
      <c r="AU4" s="190" t="s">
        <v>929</v>
      </c>
      <c r="AV4" s="190" t="s">
        <v>929</v>
      </c>
      <c r="AW4" s="190" t="s">
        <v>929</v>
      </c>
      <c r="AX4" s="190" t="s">
        <v>929</v>
      </c>
      <c r="AY4" s="190" t="s">
        <v>929</v>
      </c>
      <c r="AZ4" s="190" t="s">
        <v>929</v>
      </c>
      <c r="BA4" s="190" t="s">
        <v>929</v>
      </c>
      <c r="BB4" s="190" t="s">
        <v>929</v>
      </c>
      <c r="BC4" s="190" t="s">
        <v>929</v>
      </c>
      <c r="BD4" s="190" t="s">
        <v>929</v>
      </c>
      <c r="BE4" s="190" t="s">
        <v>929</v>
      </c>
      <c r="BF4" s="190" t="s">
        <v>929</v>
      </c>
      <c r="BG4" s="190" t="s">
        <v>929</v>
      </c>
      <c r="BH4" s="190" t="s">
        <v>929</v>
      </c>
      <c r="BI4" s="190" t="s">
        <v>929</v>
      </c>
      <c r="BJ4" s="190" t="s">
        <v>929</v>
      </c>
      <c r="BK4" s="190" t="s">
        <v>929</v>
      </c>
      <c r="BL4" s="190" t="s">
        <v>929</v>
      </c>
      <c r="BM4" s="190" t="s">
        <v>929</v>
      </c>
      <c r="BN4" s="190" t="s">
        <v>929</v>
      </c>
      <c r="BO4" s="190" t="s">
        <v>929</v>
      </c>
      <c r="BP4" s="190" t="s">
        <v>929</v>
      </c>
      <c r="BQ4" s="190" t="s">
        <v>929</v>
      </c>
      <c r="BR4" s="190" t="s">
        <v>929</v>
      </c>
      <c r="BS4" s="190" t="s">
        <v>929</v>
      </c>
      <c r="BT4" s="190" t="s">
        <v>929</v>
      </c>
      <c r="BU4" s="190" t="s">
        <v>929</v>
      </c>
      <c r="BV4" s="190" t="s">
        <v>929</v>
      </c>
      <c r="BW4" s="190" t="s">
        <v>929</v>
      </c>
      <c r="BX4" s="190" t="s">
        <v>929</v>
      </c>
      <c r="BY4" s="190" t="s">
        <v>929</v>
      </c>
      <c r="BZ4" s="190" t="s">
        <v>929</v>
      </c>
      <c r="CA4" s="190" t="s">
        <v>929</v>
      </c>
      <c r="CB4" s="190" t="s">
        <v>929</v>
      </c>
      <c r="CC4" s="190" t="s">
        <v>929</v>
      </c>
      <c r="CD4" s="190" t="s">
        <v>929</v>
      </c>
      <c r="CE4" s="190" t="s">
        <v>929</v>
      </c>
      <c r="CF4" s="190" t="s">
        <v>929</v>
      </c>
      <c r="CG4" s="190" t="s">
        <v>929</v>
      </c>
      <c r="CH4" s="190" t="s">
        <v>929</v>
      </c>
      <c r="CI4" s="190" t="s">
        <v>929</v>
      </c>
      <c r="CJ4" s="190" t="s">
        <v>929</v>
      </c>
      <c r="CK4" s="190" t="s">
        <v>929</v>
      </c>
      <c r="CL4" s="190" t="s">
        <v>929</v>
      </c>
      <c r="CM4" s="190" t="s">
        <v>929</v>
      </c>
      <c r="CN4" s="190" t="s">
        <v>929</v>
      </c>
      <c r="CO4" s="190" t="s">
        <v>929</v>
      </c>
      <c r="CP4" s="190" t="s">
        <v>929</v>
      </c>
      <c r="CQ4" s="190" t="s">
        <v>929</v>
      </c>
      <c r="CR4" s="190"/>
      <c r="CS4" s="190" t="s">
        <v>927</v>
      </c>
      <c r="CT4" s="190" t="s">
        <v>986</v>
      </c>
      <c r="CU4" s="190" t="s">
        <v>928</v>
      </c>
      <c r="CV4" s="190" t="s">
        <v>986</v>
      </c>
      <c r="CW4" s="190"/>
      <c r="CX4" s="190" t="s">
        <v>927</v>
      </c>
      <c r="CY4" s="190" t="s">
        <v>927</v>
      </c>
      <c r="CZ4" s="190" t="s">
        <v>927</v>
      </c>
      <c r="DA4" s="190" t="s">
        <v>927</v>
      </c>
      <c r="DB4" s="190" t="s">
        <v>927</v>
      </c>
      <c r="DC4" s="190" t="s">
        <v>927</v>
      </c>
      <c r="DD4" s="190" t="s">
        <v>927</v>
      </c>
      <c r="DE4" s="190"/>
      <c r="DF4" s="174">
        <v>3</v>
      </c>
      <c r="DH4" s="268" t="s">
        <v>916</v>
      </c>
      <c r="DI4" s="268" t="s">
        <v>977</v>
      </c>
      <c r="DJ4" s="268">
        <v>2</v>
      </c>
      <c r="DK4" s="268">
        <v>3</v>
      </c>
      <c r="DL4" s="268">
        <v>-2</v>
      </c>
      <c r="DM4" s="268">
        <v>2</v>
      </c>
      <c r="DN4" s="268"/>
      <c r="DO4" s="268">
        <v>3</v>
      </c>
      <c r="DP4" s="268">
        <v>4</v>
      </c>
      <c r="DQ4" s="268"/>
      <c r="DR4" s="268"/>
      <c r="DS4" s="268">
        <v>2</v>
      </c>
      <c r="DT4" s="268"/>
      <c r="DU4" s="268"/>
      <c r="DV4" s="268"/>
      <c r="DW4" s="268">
        <v>5</v>
      </c>
      <c r="DX4" s="268">
        <v>100</v>
      </c>
      <c r="DY4" s="268">
        <v>1</v>
      </c>
      <c r="DZ4" s="268">
        <v>3</v>
      </c>
      <c r="EA4" s="268">
        <v>1</v>
      </c>
      <c r="EB4" s="268">
        <v>15</v>
      </c>
      <c r="EC4" s="174">
        <f t="shared" ref="EC4:EC40" si="6">SUM(DJ4:DS4)</f>
        <v>14</v>
      </c>
      <c r="ED4" s="268" t="s">
        <v>4196</v>
      </c>
      <c r="EE4" s="174">
        <v>6543</v>
      </c>
      <c r="EF4" s="174">
        <v>6543</v>
      </c>
      <c r="EG4" s="174">
        <v>7654</v>
      </c>
      <c r="EH4" s="174">
        <v>6543</v>
      </c>
      <c r="EI4" s="174">
        <v>6543</v>
      </c>
      <c r="EJ4" s="174">
        <v>6543</v>
      </c>
      <c r="EK4" s="174">
        <v>6543</v>
      </c>
      <c r="EL4" s="174">
        <v>6521</v>
      </c>
      <c r="EN4" s="182" t="s">
        <v>989</v>
      </c>
      <c r="EQ4" s="174">
        <v>1</v>
      </c>
      <c r="ER4" s="174">
        <v>2</v>
      </c>
      <c r="ES4" s="174">
        <v>1</v>
      </c>
      <c r="ET4" s="174">
        <v>1</v>
      </c>
      <c r="EV4" s="174">
        <v>1</v>
      </c>
      <c r="EW4" s="174">
        <v>1</v>
      </c>
      <c r="EX4" s="174">
        <v>1</v>
      </c>
      <c r="EZ4" s="174">
        <v>1</v>
      </c>
      <c r="FA4" s="174">
        <v>1</v>
      </c>
      <c r="FB4" s="174">
        <v>1</v>
      </c>
      <c r="FC4" s="174">
        <v>1</v>
      </c>
      <c r="FD4" s="174">
        <v>1</v>
      </c>
      <c r="FF4" s="174">
        <v>1</v>
      </c>
      <c r="FG4" s="174">
        <v>2</v>
      </c>
      <c r="FH4" s="174">
        <v>1</v>
      </c>
      <c r="FI4" s="174">
        <v>1</v>
      </c>
      <c r="FJ4" s="174">
        <v>1</v>
      </c>
      <c r="FK4" s="174">
        <v>1</v>
      </c>
      <c r="FL4" s="174">
        <v>1</v>
      </c>
      <c r="FM4" s="174">
        <v>1</v>
      </c>
      <c r="FO4" s="174">
        <v>2</v>
      </c>
      <c r="FQ4" s="174">
        <v>1</v>
      </c>
      <c r="FR4" s="174">
        <v>1</v>
      </c>
      <c r="FS4" s="174">
        <v>1</v>
      </c>
      <c r="FT4" s="174">
        <v>1</v>
      </c>
      <c r="FU4" s="174">
        <v>1</v>
      </c>
      <c r="FV4" s="174">
        <v>1</v>
      </c>
      <c r="FW4" s="174">
        <v>1</v>
      </c>
      <c r="FX4" s="174">
        <v>1</v>
      </c>
      <c r="FY4" s="174">
        <v>3</v>
      </c>
      <c r="FZ4" s="174">
        <v>3</v>
      </c>
      <c r="HA4" s="174">
        <v>3</v>
      </c>
      <c r="HB4" s="197">
        <v>1</v>
      </c>
      <c r="HC4" s="183">
        <v>2</v>
      </c>
      <c r="HD4" s="183">
        <v>3</v>
      </c>
      <c r="HE4" s="194">
        <v>1</v>
      </c>
      <c r="HF4" s="183">
        <v>5</v>
      </c>
      <c r="HG4" s="193">
        <f t="shared" si="3"/>
        <v>5</v>
      </c>
      <c r="HH4" s="192" t="e">
        <f t="shared" ref="HH4:HH35" si="7">HLOOKUP($B$155,$HK$1:$IK$202,$IJ3,0)</f>
        <v>#REF!</v>
      </c>
      <c r="HI4" s="198">
        <v>1</v>
      </c>
      <c r="HJ4" s="185">
        <v>5</v>
      </c>
      <c r="HK4" s="174">
        <v>2</v>
      </c>
      <c r="HL4" s="174">
        <f t="shared" ref="HL4:HL11" si="8">HL3+8</f>
        <v>16</v>
      </c>
      <c r="HM4" s="174">
        <f t="shared" ref="HM4:HM11" si="9">HM3+7</f>
        <v>14</v>
      </c>
      <c r="HN4" s="174">
        <f t="shared" ref="HN4:HN11" si="10">HN3+7</f>
        <v>14</v>
      </c>
      <c r="HO4" s="174">
        <f t="shared" ref="HO4:HO11" si="11">HO3+7</f>
        <v>14</v>
      </c>
      <c r="HP4" s="174">
        <f t="shared" ref="HP4:HP11" si="12">HP3+7</f>
        <v>14</v>
      </c>
      <c r="HQ4" s="174">
        <f t="shared" ref="HQ4:HQ11" si="13">HQ3+7</f>
        <v>14</v>
      </c>
      <c r="HR4" s="174">
        <f t="shared" ref="HR4:HR11" si="14">HR3+7</f>
        <v>14</v>
      </c>
      <c r="HS4" s="174">
        <f t="shared" ref="HS4:HS11" si="15">HS3+7</f>
        <v>14</v>
      </c>
      <c r="HT4" s="174">
        <f t="shared" ref="HT4:HT11" si="16">HT3+7</f>
        <v>14</v>
      </c>
      <c r="HU4" s="174">
        <f t="shared" ref="HU4:HU11" si="17">HU3+6</f>
        <v>12</v>
      </c>
      <c r="HV4" s="174">
        <f t="shared" ref="HV4:HV11" si="18">HV3+6</f>
        <v>12</v>
      </c>
      <c r="HW4" s="174">
        <f t="shared" ref="HW4:HW11" si="19">HW3+6</f>
        <v>12</v>
      </c>
      <c r="HX4" s="174">
        <f t="shared" ref="HX4:HX11" si="20">HX3+6</f>
        <v>12</v>
      </c>
      <c r="HY4" s="174">
        <f t="shared" ref="HY4:HY11" si="21">HY3+6</f>
        <v>12</v>
      </c>
      <c r="HZ4" s="174">
        <f t="shared" ref="HZ4:HZ11" si="22">HZ3+6</f>
        <v>12</v>
      </c>
      <c r="IA4" s="174">
        <f t="shared" ref="IA4:IA11" si="23">IA3+6</f>
        <v>12</v>
      </c>
      <c r="IB4" s="174">
        <f t="shared" ref="IB4:IB11" si="24">IB3+5</f>
        <v>10</v>
      </c>
      <c r="IC4" s="174">
        <f t="shared" ref="IC4:IC11" si="25">IC3+5</f>
        <v>10</v>
      </c>
      <c r="ID4" s="174">
        <f t="shared" ref="ID4:ID11" si="26">ID3+5</f>
        <v>10</v>
      </c>
      <c r="IE4" s="174">
        <f t="shared" ref="IE4:IE11" si="27">IE3+4</f>
        <v>8</v>
      </c>
      <c r="IF4" s="174">
        <f t="shared" ref="IF4:IF11" si="28">IF3+4</f>
        <v>8</v>
      </c>
      <c r="IG4" s="174">
        <f t="shared" ref="IG4:IG11" si="29">IG3+3</f>
        <v>6</v>
      </c>
      <c r="IH4" s="174">
        <f t="shared" ref="IH4:IH11" si="30">IH3+3</f>
        <v>6</v>
      </c>
      <c r="II4" s="174">
        <f t="shared" ref="II4:II11" si="31">II3+2</f>
        <v>4</v>
      </c>
      <c r="IJ4" s="174">
        <v>4</v>
      </c>
      <c r="IN4" s="174">
        <f>Skills!K314</f>
        <v>-14.509997</v>
      </c>
      <c r="IO4" s="174" t="str">
        <f>Skills!B314</f>
        <v>1-H Krush</v>
      </c>
      <c r="IR4" s="174">
        <v>20000</v>
      </c>
      <c r="IS4" s="174">
        <v>2</v>
      </c>
    </row>
    <row r="5" spans="1:253" ht="13.35" customHeight="1" x14ac:dyDescent="0.2">
      <c r="A5" s="183">
        <f t="shared" si="1"/>
        <v>4</v>
      </c>
      <c r="B5" s="184">
        <f t="shared" si="0"/>
        <v>-8</v>
      </c>
      <c r="C5" s="183">
        <f t="shared" si="2"/>
        <v>4</v>
      </c>
      <c r="E5" s="196" t="s">
        <v>410</v>
      </c>
      <c r="F5" s="190" t="s">
        <v>927</v>
      </c>
      <c r="G5" s="190" t="s">
        <v>929</v>
      </c>
      <c r="H5" s="190" t="s">
        <v>927</v>
      </c>
      <c r="I5" s="190" t="s">
        <v>930</v>
      </c>
      <c r="J5" s="190" t="s">
        <v>929</v>
      </c>
      <c r="K5" s="190" t="s">
        <v>930</v>
      </c>
      <c r="L5" s="190" t="s">
        <v>930</v>
      </c>
      <c r="M5" s="190" t="s">
        <v>930</v>
      </c>
      <c r="N5" s="190" t="s">
        <v>930</v>
      </c>
      <c r="O5" s="190" t="s">
        <v>934</v>
      </c>
      <c r="P5" s="190" t="s">
        <v>928</v>
      </c>
      <c r="Q5" s="190" t="s">
        <v>934</v>
      </c>
      <c r="R5" s="190" t="s">
        <v>934</v>
      </c>
      <c r="S5" s="190" t="s">
        <v>930</v>
      </c>
      <c r="T5" s="190" t="s">
        <v>928</v>
      </c>
      <c r="U5" s="190" t="s">
        <v>927</v>
      </c>
      <c r="V5" s="190" t="s">
        <v>930</v>
      </c>
      <c r="W5" s="190" t="s">
        <v>930</v>
      </c>
      <c r="X5" s="190" t="s">
        <v>929</v>
      </c>
      <c r="Y5" s="190" t="s">
        <v>928</v>
      </c>
      <c r="Z5" s="190"/>
      <c r="AA5" s="190" t="s">
        <v>930</v>
      </c>
      <c r="AB5" s="190" t="s">
        <v>930</v>
      </c>
      <c r="AC5" s="190" t="s">
        <v>932</v>
      </c>
      <c r="AD5" s="190" t="s">
        <v>934</v>
      </c>
      <c r="AE5" s="190"/>
      <c r="AF5" s="190" t="s">
        <v>930</v>
      </c>
      <c r="AG5" s="190" t="s">
        <v>930</v>
      </c>
      <c r="AH5" s="190" t="s">
        <v>987</v>
      </c>
      <c r="AI5" s="190"/>
      <c r="AJ5" s="190" t="s">
        <v>929</v>
      </c>
      <c r="AK5" s="190" t="s">
        <v>934</v>
      </c>
      <c r="AL5" s="190" t="s">
        <v>934</v>
      </c>
      <c r="AM5" s="190" t="s">
        <v>934</v>
      </c>
      <c r="AN5" s="190"/>
      <c r="AO5" s="190" t="s">
        <v>930</v>
      </c>
      <c r="AP5" s="190" t="s">
        <v>934</v>
      </c>
      <c r="AQ5" s="190" t="s">
        <v>933</v>
      </c>
      <c r="AR5" s="190"/>
      <c r="AS5" s="190" t="s">
        <v>930</v>
      </c>
      <c r="AT5" s="190" t="s">
        <v>930</v>
      </c>
      <c r="AU5" s="190" t="s">
        <v>930</v>
      </c>
      <c r="AV5" s="190" t="s">
        <v>930</v>
      </c>
      <c r="AW5" s="190" t="s">
        <v>930</v>
      </c>
      <c r="AX5" s="190" t="s">
        <v>930</v>
      </c>
      <c r="AY5" s="190" t="s">
        <v>930</v>
      </c>
      <c r="AZ5" s="190" t="s">
        <v>930</v>
      </c>
      <c r="BA5" s="190" t="s">
        <v>930</v>
      </c>
      <c r="BB5" s="190" t="s">
        <v>930</v>
      </c>
      <c r="BC5" s="190" t="s">
        <v>930</v>
      </c>
      <c r="BD5" s="190" t="s">
        <v>930</v>
      </c>
      <c r="BE5" s="190" t="s">
        <v>930</v>
      </c>
      <c r="BF5" s="190" t="s">
        <v>930</v>
      </c>
      <c r="BG5" s="190" t="s">
        <v>930</v>
      </c>
      <c r="BH5" s="190" t="s">
        <v>930</v>
      </c>
      <c r="BI5" s="190" t="s">
        <v>930</v>
      </c>
      <c r="BJ5" s="190" t="s">
        <v>930</v>
      </c>
      <c r="BK5" s="190" t="s">
        <v>930</v>
      </c>
      <c r="BL5" s="190" t="s">
        <v>930</v>
      </c>
      <c r="BM5" s="190" t="s">
        <v>930</v>
      </c>
      <c r="BN5" s="190" t="s">
        <v>930</v>
      </c>
      <c r="BO5" s="190" t="s">
        <v>930</v>
      </c>
      <c r="BP5" s="190" t="s">
        <v>930</v>
      </c>
      <c r="BQ5" s="190" t="s">
        <v>930</v>
      </c>
      <c r="BR5" s="190" t="s">
        <v>930</v>
      </c>
      <c r="BS5" s="190" t="s">
        <v>930</v>
      </c>
      <c r="BT5" s="190" t="s">
        <v>930</v>
      </c>
      <c r="BU5" s="190" t="s">
        <v>930</v>
      </c>
      <c r="BV5" s="190" t="s">
        <v>930</v>
      </c>
      <c r="BW5" s="190" t="s">
        <v>930</v>
      </c>
      <c r="BX5" s="190" t="s">
        <v>930</v>
      </c>
      <c r="BY5" s="190" t="s">
        <v>930</v>
      </c>
      <c r="BZ5" s="190" t="s">
        <v>930</v>
      </c>
      <c r="CA5" s="190" t="s">
        <v>930</v>
      </c>
      <c r="CB5" s="190" t="s">
        <v>930</v>
      </c>
      <c r="CC5" s="190" t="s">
        <v>930</v>
      </c>
      <c r="CD5" s="190" t="s">
        <v>930</v>
      </c>
      <c r="CE5" s="190" t="s">
        <v>930</v>
      </c>
      <c r="CF5" s="190" t="s">
        <v>930</v>
      </c>
      <c r="CG5" s="190" t="s">
        <v>930</v>
      </c>
      <c r="CH5" s="190" t="s">
        <v>930</v>
      </c>
      <c r="CI5" s="190" t="s">
        <v>930</v>
      </c>
      <c r="CJ5" s="190" t="s">
        <v>930</v>
      </c>
      <c r="CK5" s="190" t="s">
        <v>930</v>
      </c>
      <c r="CL5" s="190" t="s">
        <v>930</v>
      </c>
      <c r="CM5" s="190" t="s">
        <v>930</v>
      </c>
      <c r="CN5" s="190" t="s">
        <v>930</v>
      </c>
      <c r="CO5" s="190" t="s">
        <v>930</v>
      </c>
      <c r="CP5" s="190" t="s">
        <v>930</v>
      </c>
      <c r="CQ5" s="190" t="s">
        <v>930</v>
      </c>
      <c r="CR5" s="190"/>
      <c r="CS5" s="190" t="s">
        <v>928</v>
      </c>
      <c r="CT5" s="190" t="s">
        <v>927</v>
      </c>
      <c r="CU5" s="190" t="s">
        <v>930</v>
      </c>
      <c r="CV5" s="190" t="s">
        <v>928</v>
      </c>
      <c r="CW5" s="190"/>
      <c r="CX5" s="190" t="s">
        <v>929</v>
      </c>
      <c r="CY5" s="190" t="s">
        <v>930</v>
      </c>
      <c r="CZ5" s="190" t="s">
        <v>930</v>
      </c>
      <c r="DA5" s="190" t="s">
        <v>928</v>
      </c>
      <c r="DB5" s="190" t="s">
        <v>928</v>
      </c>
      <c r="DC5" s="190" t="s">
        <v>930</v>
      </c>
      <c r="DD5" s="190" t="s">
        <v>928</v>
      </c>
      <c r="DE5" s="190"/>
      <c r="DF5" s="174">
        <v>4</v>
      </c>
      <c r="DH5" s="268" t="s">
        <v>916</v>
      </c>
      <c r="DI5" s="268" t="s">
        <v>976</v>
      </c>
      <c r="DJ5" s="268">
        <v>2</v>
      </c>
      <c r="DK5" s="268">
        <v>4</v>
      </c>
      <c r="DL5" s="268">
        <v>-2</v>
      </c>
      <c r="DM5" s="268">
        <v>2</v>
      </c>
      <c r="DN5" s="268"/>
      <c r="DO5" s="268">
        <v>2</v>
      </c>
      <c r="DP5" s="268">
        <v>4</v>
      </c>
      <c r="DQ5" s="268"/>
      <c r="DR5" s="268">
        <v>2</v>
      </c>
      <c r="DS5" s="268"/>
      <c r="DT5" s="268"/>
      <c r="DU5" s="268"/>
      <c r="DV5" s="268"/>
      <c r="DW5" s="268">
        <v>5</v>
      </c>
      <c r="DX5" s="268">
        <v>100</v>
      </c>
      <c r="DY5" s="268">
        <v>1</v>
      </c>
      <c r="DZ5" s="268">
        <v>3</v>
      </c>
      <c r="EA5" s="268">
        <v>1</v>
      </c>
      <c r="EB5" s="268">
        <v>15</v>
      </c>
      <c r="EC5" s="174">
        <f t="shared" si="6"/>
        <v>14</v>
      </c>
      <c r="ED5" s="268" t="s">
        <v>4197</v>
      </c>
      <c r="EE5" s="174">
        <v>6543</v>
      </c>
      <c r="EF5" s="174">
        <v>6543</v>
      </c>
      <c r="EG5" s="174">
        <v>7654</v>
      </c>
      <c r="EH5" s="174">
        <v>6543</v>
      </c>
      <c r="EI5" s="174">
        <v>6543</v>
      </c>
      <c r="EJ5" s="174">
        <v>6543</v>
      </c>
      <c r="EK5" s="174">
        <v>6543</v>
      </c>
      <c r="EL5" s="174">
        <v>6421</v>
      </c>
      <c r="EN5" s="174" t="s">
        <v>407</v>
      </c>
      <c r="FA5" s="174">
        <v>1</v>
      </c>
      <c r="FF5" s="174">
        <v>1</v>
      </c>
      <c r="FI5" s="174">
        <v>1</v>
      </c>
      <c r="FW5" s="174">
        <v>1</v>
      </c>
      <c r="FX5" s="174">
        <v>1</v>
      </c>
      <c r="FY5" s="174">
        <v>1</v>
      </c>
      <c r="FZ5" s="174">
        <v>1</v>
      </c>
      <c r="HA5" s="174">
        <v>4</v>
      </c>
      <c r="HB5" s="197">
        <v>2</v>
      </c>
      <c r="HC5" s="183">
        <v>4</v>
      </c>
      <c r="HD5" s="183">
        <v>6</v>
      </c>
      <c r="HE5" s="183">
        <v>2</v>
      </c>
      <c r="HF5" s="183">
        <v>10</v>
      </c>
      <c r="HG5" s="193">
        <f t="shared" si="3"/>
        <v>10</v>
      </c>
      <c r="HH5" s="192" t="e">
        <f t="shared" si="7"/>
        <v>#REF!</v>
      </c>
      <c r="HI5" s="198">
        <v>2</v>
      </c>
      <c r="HJ5" s="185">
        <v>10</v>
      </c>
      <c r="HK5" s="174">
        <v>3</v>
      </c>
      <c r="HL5" s="174">
        <f t="shared" si="8"/>
        <v>24</v>
      </c>
      <c r="HM5" s="174">
        <f t="shared" si="9"/>
        <v>21</v>
      </c>
      <c r="HN5" s="174">
        <f t="shared" si="10"/>
        <v>21</v>
      </c>
      <c r="HO5" s="174">
        <f t="shared" si="11"/>
        <v>21</v>
      </c>
      <c r="HP5" s="174">
        <f t="shared" si="12"/>
        <v>21</v>
      </c>
      <c r="HQ5" s="174">
        <f t="shared" si="13"/>
        <v>21</v>
      </c>
      <c r="HR5" s="174">
        <f t="shared" si="14"/>
        <v>21</v>
      </c>
      <c r="HS5" s="174">
        <f t="shared" si="15"/>
        <v>21</v>
      </c>
      <c r="HT5" s="174">
        <f t="shared" si="16"/>
        <v>21</v>
      </c>
      <c r="HU5" s="174">
        <f t="shared" si="17"/>
        <v>18</v>
      </c>
      <c r="HV5" s="174">
        <f t="shared" si="18"/>
        <v>18</v>
      </c>
      <c r="HW5" s="174">
        <f t="shared" si="19"/>
        <v>18</v>
      </c>
      <c r="HX5" s="174">
        <f t="shared" si="20"/>
        <v>18</v>
      </c>
      <c r="HY5" s="174">
        <f t="shared" si="21"/>
        <v>18</v>
      </c>
      <c r="HZ5" s="174">
        <f t="shared" si="22"/>
        <v>18</v>
      </c>
      <c r="IA5" s="174">
        <f t="shared" si="23"/>
        <v>18</v>
      </c>
      <c r="IB5" s="174">
        <f t="shared" si="24"/>
        <v>15</v>
      </c>
      <c r="IC5" s="174">
        <f t="shared" si="25"/>
        <v>15</v>
      </c>
      <c r="ID5" s="174">
        <f t="shared" si="26"/>
        <v>15</v>
      </c>
      <c r="IE5" s="174">
        <f t="shared" si="27"/>
        <v>12</v>
      </c>
      <c r="IF5" s="174">
        <f t="shared" si="28"/>
        <v>12</v>
      </c>
      <c r="IG5" s="174">
        <f t="shared" si="29"/>
        <v>9</v>
      </c>
      <c r="IH5" s="174">
        <f t="shared" si="30"/>
        <v>9</v>
      </c>
      <c r="II5" s="174">
        <f t="shared" si="31"/>
        <v>6</v>
      </c>
      <c r="IJ5" s="174">
        <v>5</v>
      </c>
      <c r="IN5" s="174">
        <f>Skills!K316</f>
        <v>-14.50996</v>
      </c>
      <c r="IO5" s="174" t="str">
        <f>Skills!B316</f>
        <v>1-H Edged</v>
      </c>
      <c r="IR5" s="174">
        <v>30000</v>
      </c>
      <c r="IS5" s="174">
        <v>3</v>
      </c>
    </row>
    <row r="6" spans="1:253" ht="13.35" customHeight="1" x14ac:dyDescent="0.2">
      <c r="A6" s="183">
        <f t="shared" si="1"/>
        <v>5</v>
      </c>
      <c r="B6" s="184">
        <f t="shared" si="0"/>
        <v>-8</v>
      </c>
      <c r="C6" s="183">
        <f t="shared" si="2"/>
        <v>5</v>
      </c>
      <c r="E6" s="196" t="s">
        <v>412</v>
      </c>
      <c r="F6" s="190" t="s">
        <v>991</v>
      </c>
      <c r="G6" s="190" t="s">
        <v>992</v>
      </c>
      <c r="H6" s="190" t="s">
        <v>992</v>
      </c>
      <c r="I6" s="190" t="s">
        <v>991</v>
      </c>
      <c r="J6" s="190" t="s">
        <v>991</v>
      </c>
      <c r="K6" s="190" t="s">
        <v>991</v>
      </c>
      <c r="L6" s="190" t="s">
        <v>993</v>
      </c>
      <c r="M6" s="190" t="s">
        <v>991</v>
      </c>
      <c r="N6" s="190" t="s">
        <v>991</v>
      </c>
      <c r="O6" s="190" t="s">
        <v>991</v>
      </c>
      <c r="P6" s="190" t="s">
        <v>991</v>
      </c>
      <c r="Q6" s="190" t="s">
        <v>991</v>
      </c>
      <c r="R6" s="190" t="s">
        <v>994</v>
      </c>
      <c r="S6" s="190" t="s">
        <v>991</v>
      </c>
      <c r="T6" s="190" t="s">
        <v>995</v>
      </c>
      <c r="U6" s="190" t="s">
        <v>991</v>
      </c>
      <c r="V6" s="190" t="s">
        <v>991</v>
      </c>
      <c r="W6" s="190" t="s">
        <v>992</v>
      </c>
      <c r="X6" s="190" t="s">
        <v>996</v>
      </c>
      <c r="Y6" s="190" t="s">
        <v>992</v>
      </c>
      <c r="Z6" s="190"/>
      <c r="AA6" s="190" t="s">
        <v>991</v>
      </c>
      <c r="AB6" s="190" t="s">
        <v>991</v>
      </c>
      <c r="AC6" s="190" t="s">
        <v>991</v>
      </c>
      <c r="AD6" s="190" t="s">
        <v>991</v>
      </c>
      <c r="AE6" s="190"/>
      <c r="AF6" s="190" t="s">
        <v>991</v>
      </c>
      <c r="AG6" s="190" t="s">
        <v>991</v>
      </c>
      <c r="AH6" s="190" t="s">
        <v>991</v>
      </c>
      <c r="AI6" s="190"/>
      <c r="AJ6" s="190" t="s">
        <v>991</v>
      </c>
      <c r="AK6" s="190" t="s">
        <v>994</v>
      </c>
      <c r="AL6" s="190" t="s">
        <v>992</v>
      </c>
      <c r="AM6" s="190" t="s">
        <v>991</v>
      </c>
      <c r="AN6" s="190"/>
      <c r="AO6" s="190" t="s">
        <v>991</v>
      </c>
      <c r="AP6" s="190" t="s">
        <v>991</v>
      </c>
      <c r="AQ6" s="190" t="s">
        <v>991</v>
      </c>
      <c r="AR6" s="190"/>
      <c r="AS6" s="190" t="s">
        <v>991</v>
      </c>
      <c r="AT6" s="190" t="s">
        <v>991</v>
      </c>
      <c r="AU6" s="190" t="s">
        <v>991</v>
      </c>
      <c r="AV6" s="190" t="s">
        <v>991</v>
      </c>
      <c r="AW6" s="190" t="s">
        <v>991</v>
      </c>
      <c r="AX6" s="190" t="s">
        <v>991</v>
      </c>
      <c r="AY6" s="190" t="s">
        <v>991</v>
      </c>
      <c r="AZ6" s="190" t="s">
        <v>991</v>
      </c>
      <c r="BA6" s="190" t="s">
        <v>991</v>
      </c>
      <c r="BB6" s="190" t="s">
        <v>991</v>
      </c>
      <c r="BC6" s="190" t="s">
        <v>991</v>
      </c>
      <c r="BD6" s="190" t="s">
        <v>991</v>
      </c>
      <c r="BE6" s="190" t="s">
        <v>991</v>
      </c>
      <c r="BF6" s="190" t="s">
        <v>991</v>
      </c>
      <c r="BG6" s="190" t="s">
        <v>991</v>
      </c>
      <c r="BH6" s="190" t="s">
        <v>991</v>
      </c>
      <c r="BI6" s="190" t="s">
        <v>991</v>
      </c>
      <c r="BJ6" s="190" t="s">
        <v>991</v>
      </c>
      <c r="BK6" s="190" t="s">
        <v>991</v>
      </c>
      <c r="BL6" s="190" t="s">
        <v>991</v>
      </c>
      <c r="BM6" s="190" t="s">
        <v>991</v>
      </c>
      <c r="BN6" s="190" t="s">
        <v>991</v>
      </c>
      <c r="BO6" s="190" t="s">
        <v>991</v>
      </c>
      <c r="BP6" s="190" t="s">
        <v>991</v>
      </c>
      <c r="BQ6" s="190" t="s">
        <v>991</v>
      </c>
      <c r="BR6" s="190" t="s">
        <v>991</v>
      </c>
      <c r="BS6" s="190" t="s">
        <v>991</v>
      </c>
      <c r="BT6" s="190" t="s">
        <v>991</v>
      </c>
      <c r="BU6" s="190" t="s">
        <v>991</v>
      </c>
      <c r="BV6" s="190" t="s">
        <v>991</v>
      </c>
      <c r="BW6" s="190" t="s">
        <v>991</v>
      </c>
      <c r="BX6" s="190" t="s">
        <v>991</v>
      </c>
      <c r="BY6" s="190" t="s">
        <v>991</v>
      </c>
      <c r="BZ6" s="190" t="s">
        <v>991</v>
      </c>
      <c r="CA6" s="190" t="s">
        <v>991</v>
      </c>
      <c r="CB6" s="190" t="s">
        <v>991</v>
      </c>
      <c r="CC6" s="190" t="s">
        <v>991</v>
      </c>
      <c r="CD6" s="190" t="s">
        <v>991</v>
      </c>
      <c r="CE6" s="190" t="s">
        <v>991</v>
      </c>
      <c r="CF6" s="190" t="s">
        <v>991</v>
      </c>
      <c r="CG6" s="190" t="s">
        <v>991</v>
      </c>
      <c r="CH6" s="190" t="s">
        <v>991</v>
      </c>
      <c r="CI6" s="190" t="s">
        <v>991</v>
      </c>
      <c r="CJ6" s="190" t="s">
        <v>991</v>
      </c>
      <c r="CK6" s="190" t="s">
        <v>991</v>
      </c>
      <c r="CL6" s="190" t="s">
        <v>991</v>
      </c>
      <c r="CM6" s="190" t="s">
        <v>991</v>
      </c>
      <c r="CN6" s="190" t="s">
        <v>991</v>
      </c>
      <c r="CO6" s="190" t="s">
        <v>991</v>
      </c>
      <c r="CP6" s="190" t="s">
        <v>991</v>
      </c>
      <c r="CQ6" s="190" t="s">
        <v>991</v>
      </c>
      <c r="CR6" s="190"/>
      <c r="CS6" s="190" t="s">
        <v>991</v>
      </c>
      <c r="CT6" s="190" t="s">
        <v>991</v>
      </c>
      <c r="CU6" s="190" t="s">
        <v>991</v>
      </c>
      <c r="CV6" s="190" t="s">
        <v>992</v>
      </c>
      <c r="CW6" s="190"/>
      <c r="CX6" s="190" t="s">
        <v>991</v>
      </c>
      <c r="CY6" s="190" t="s">
        <v>991</v>
      </c>
      <c r="CZ6" s="190" t="s">
        <v>991</v>
      </c>
      <c r="DA6" s="190" t="s">
        <v>991</v>
      </c>
      <c r="DB6" s="190" t="s">
        <v>991</v>
      </c>
      <c r="DC6" s="190" t="s">
        <v>991</v>
      </c>
      <c r="DD6" s="190" t="s">
        <v>991</v>
      </c>
      <c r="DE6" s="190"/>
      <c r="DF6" s="174">
        <v>5</v>
      </c>
      <c r="DH6" s="268" t="s">
        <v>895</v>
      </c>
      <c r="DI6" s="268" t="s">
        <v>4360</v>
      </c>
      <c r="DJ6" s="268">
        <v>4</v>
      </c>
      <c r="DK6" s="268"/>
      <c r="DL6" s="268">
        <v>4</v>
      </c>
      <c r="DM6" s="268"/>
      <c r="DN6" s="268"/>
      <c r="DO6" s="268">
        <v>4</v>
      </c>
      <c r="DP6" s="268">
        <v>-2</v>
      </c>
      <c r="DQ6" s="268">
        <v>-4</v>
      </c>
      <c r="DR6" s="268">
        <v>-4</v>
      </c>
      <c r="DS6" s="268"/>
      <c r="DT6" s="268">
        <v>20</v>
      </c>
      <c r="DU6" s="268"/>
      <c r="DV6" s="268">
        <v>20</v>
      </c>
      <c r="DW6" s="268">
        <v>30</v>
      </c>
      <c r="DX6" s="268">
        <v>15</v>
      </c>
      <c r="DY6" s="268">
        <v>1</v>
      </c>
      <c r="DZ6" s="268">
        <v>4</v>
      </c>
      <c r="EA6" s="268">
        <v>0.5</v>
      </c>
      <c r="EB6" s="268">
        <v>40</v>
      </c>
      <c r="EC6" s="174">
        <f t="shared" si="6"/>
        <v>2</v>
      </c>
      <c r="ED6" s="268" t="s">
        <v>4187</v>
      </c>
      <c r="EE6" s="174">
        <v>6543</v>
      </c>
      <c r="EF6" s="174">
        <v>6543</v>
      </c>
      <c r="EG6" s="174">
        <v>7654</v>
      </c>
      <c r="EH6" s="174">
        <v>6543</v>
      </c>
      <c r="EI6" s="174">
        <v>6543</v>
      </c>
      <c r="EJ6" s="174">
        <v>6543</v>
      </c>
      <c r="EK6" s="174">
        <v>6543</v>
      </c>
      <c r="EL6" s="174">
        <v>6421</v>
      </c>
      <c r="EN6" s="174" t="s">
        <v>998</v>
      </c>
      <c r="EQ6" s="174">
        <v>1</v>
      </c>
      <c r="ER6" s="174">
        <v>2</v>
      </c>
      <c r="ES6" s="174">
        <v>1</v>
      </c>
      <c r="ET6" s="174">
        <v>1</v>
      </c>
      <c r="EV6" s="174">
        <v>1</v>
      </c>
      <c r="FB6" s="174">
        <v>1</v>
      </c>
      <c r="FC6" s="174">
        <v>1</v>
      </c>
      <c r="FD6" s="174">
        <v>1</v>
      </c>
      <c r="FF6" s="174">
        <v>1</v>
      </c>
      <c r="FG6" s="174">
        <v>2</v>
      </c>
      <c r="FI6" s="174">
        <v>1</v>
      </c>
      <c r="FJ6" s="174">
        <v>1</v>
      </c>
      <c r="FK6" s="174">
        <v>1</v>
      </c>
      <c r="FL6" s="174">
        <v>1</v>
      </c>
      <c r="FM6" s="174">
        <v>1</v>
      </c>
      <c r="FO6" s="174">
        <v>2</v>
      </c>
      <c r="FQ6" s="174">
        <v>1</v>
      </c>
      <c r="FR6" s="174">
        <v>1</v>
      </c>
      <c r="FS6" s="174">
        <v>1</v>
      </c>
      <c r="FT6" s="174">
        <v>1</v>
      </c>
      <c r="FU6" s="174">
        <v>1</v>
      </c>
      <c r="FV6" s="174">
        <v>1</v>
      </c>
      <c r="FW6" s="174">
        <v>1</v>
      </c>
      <c r="FY6" s="174">
        <v>3</v>
      </c>
      <c r="FZ6" s="174">
        <v>3</v>
      </c>
      <c r="HA6" s="174">
        <v>5</v>
      </c>
      <c r="HB6" s="197">
        <v>3</v>
      </c>
      <c r="HC6" s="183">
        <v>6</v>
      </c>
      <c r="HD6" s="183">
        <v>9</v>
      </c>
      <c r="HE6" s="183">
        <v>3</v>
      </c>
      <c r="HF6" s="183">
        <v>15</v>
      </c>
      <c r="HG6" s="193">
        <f t="shared" si="3"/>
        <v>15</v>
      </c>
      <c r="HH6" s="192" t="e">
        <f t="shared" si="7"/>
        <v>#REF!</v>
      </c>
      <c r="HI6" s="198">
        <v>3</v>
      </c>
      <c r="HJ6" s="185">
        <v>15</v>
      </c>
      <c r="HK6" s="174">
        <v>4</v>
      </c>
      <c r="HL6" s="174">
        <f t="shared" si="8"/>
        <v>32</v>
      </c>
      <c r="HM6" s="174">
        <f t="shared" si="9"/>
        <v>28</v>
      </c>
      <c r="HN6" s="174">
        <f t="shared" si="10"/>
        <v>28</v>
      </c>
      <c r="HO6" s="174">
        <f t="shared" si="11"/>
        <v>28</v>
      </c>
      <c r="HP6" s="174">
        <f t="shared" si="12"/>
        <v>28</v>
      </c>
      <c r="HQ6" s="174">
        <f t="shared" si="13"/>
        <v>28</v>
      </c>
      <c r="HR6" s="174">
        <f t="shared" si="14"/>
        <v>28</v>
      </c>
      <c r="HS6" s="174">
        <f t="shared" si="15"/>
        <v>28</v>
      </c>
      <c r="HT6" s="174">
        <f t="shared" si="16"/>
        <v>28</v>
      </c>
      <c r="HU6" s="174">
        <f t="shared" si="17"/>
        <v>24</v>
      </c>
      <c r="HV6" s="174">
        <f t="shared" si="18"/>
        <v>24</v>
      </c>
      <c r="HW6" s="174">
        <f t="shared" si="19"/>
        <v>24</v>
      </c>
      <c r="HX6" s="174">
        <f t="shared" si="20"/>
        <v>24</v>
      </c>
      <c r="HY6" s="174">
        <f t="shared" si="21"/>
        <v>24</v>
      </c>
      <c r="HZ6" s="174">
        <f t="shared" si="22"/>
        <v>24</v>
      </c>
      <c r="IA6" s="174">
        <f t="shared" si="23"/>
        <v>24</v>
      </c>
      <c r="IB6" s="174">
        <f t="shared" si="24"/>
        <v>20</v>
      </c>
      <c r="IC6" s="174">
        <f t="shared" si="25"/>
        <v>20</v>
      </c>
      <c r="ID6" s="174">
        <f t="shared" si="26"/>
        <v>20</v>
      </c>
      <c r="IE6" s="174">
        <f t="shared" si="27"/>
        <v>16</v>
      </c>
      <c r="IF6" s="174">
        <f t="shared" si="28"/>
        <v>16</v>
      </c>
      <c r="IG6" s="174">
        <f t="shared" si="29"/>
        <v>12</v>
      </c>
      <c r="IH6" s="174">
        <f t="shared" si="30"/>
        <v>12</v>
      </c>
      <c r="II6" s="174">
        <f t="shared" si="31"/>
        <v>8</v>
      </c>
      <c r="IJ6" s="174">
        <v>6</v>
      </c>
      <c r="IN6" s="174">
        <f>Skills!K317</f>
        <v>-14.50995</v>
      </c>
      <c r="IO6" s="174" t="str">
        <f>Skills!B317</f>
        <v>1-H Edged</v>
      </c>
      <c r="IR6" s="174">
        <v>40000</v>
      </c>
      <c r="IS6" s="174">
        <v>4</v>
      </c>
    </row>
    <row r="7" spans="1:253" ht="13.35" customHeight="1" x14ac:dyDescent="0.2">
      <c r="A7" s="183">
        <f t="shared" si="1"/>
        <v>6</v>
      </c>
      <c r="B7" s="184">
        <f t="shared" si="0"/>
        <v>-7</v>
      </c>
      <c r="C7" s="183">
        <f t="shared" si="2"/>
        <v>6</v>
      </c>
      <c r="E7" s="196" t="s">
        <v>425</v>
      </c>
      <c r="F7" s="190" t="s">
        <v>991</v>
      </c>
      <c r="G7" s="190" t="s">
        <v>991</v>
      </c>
      <c r="H7" s="190" t="s">
        <v>991</v>
      </c>
      <c r="I7" s="190" t="s">
        <v>991</v>
      </c>
      <c r="J7" s="190" t="s">
        <v>991</v>
      </c>
      <c r="K7" s="190" t="s">
        <v>991</v>
      </c>
      <c r="L7" s="190" t="s">
        <v>991</v>
      </c>
      <c r="M7" s="190" t="s">
        <v>991</v>
      </c>
      <c r="N7" s="190" t="s">
        <v>991</v>
      </c>
      <c r="O7" s="190" t="s">
        <v>991</v>
      </c>
      <c r="P7" s="190" t="s">
        <v>991</v>
      </c>
      <c r="Q7" s="190" t="s">
        <v>991</v>
      </c>
      <c r="R7" s="190" t="s">
        <v>991</v>
      </c>
      <c r="S7" s="190" t="s">
        <v>991</v>
      </c>
      <c r="T7" s="190" t="s">
        <v>995</v>
      </c>
      <c r="U7" s="190" t="s">
        <v>991</v>
      </c>
      <c r="V7" s="190" t="s">
        <v>991</v>
      </c>
      <c r="W7" s="190" t="s">
        <v>991</v>
      </c>
      <c r="X7" s="190" t="s">
        <v>999</v>
      </c>
      <c r="Y7" s="190" t="s">
        <v>991</v>
      </c>
      <c r="Z7" s="190"/>
      <c r="AA7" s="190" t="s">
        <v>991</v>
      </c>
      <c r="AB7" s="190" t="s">
        <v>991</v>
      </c>
      <c r="AC7" s="190" t="s">
        <v>991</v>
      </c>
      <c r="AD7" s="190" t="s">
        <v>991</v>
      </c>
      <c r="AE7" s="190"/>
      <c r="AF7" s="190" t="s">
        <v>993</v>
      </c>
      <c r="AG7" s="190" t="s">
        <v>993</v>
      </c>
      <c r="AH7" s="190" t="s">
        <v>991</v>
      </c>
      <c r="AI7" s="190"/>
      <c r="AJ7" s="190" t="s">
        <v>991</v>
      </c>
      <c r="AK7" s="190" t="s">
        <v>991</v>
      </c>
      <c r="AL7" s="190" t="s">
        <v>992</v>
      </c>
      <c r="AM7" s="190" t="s">
        <v>991</v>
      </c>
      <c r="AN7" s="190"/>
      <c r="AO7" s="190" t="s">
        <v>991</v>
      </c>
      <c r="AP7" s="190" t="s">
        <v>991</v>
      </c>
      <c r="AQ7" s="190" t="s">
        <v>991</v>
      </c>
      <c r="AR7" s="190"/>
      <c r="AS7" s="190" t="s">
        <v>991</v>
      </c>
      <c r="AT7" s="190" t="s">
        <v>991</v>
      </c>
      <c r="AU7" s="190" t="s">
        <v>991</v>
      </c>
      <c r="AV7" s="190" t="s">
        <v>991</v>
      </c>
      <c r="AW7" s="190" t="s">
        <v>991</v>
      </c>
      <c r="AX7" s="190" t="s">
        <v>991</v>
      </c>
      <c r="AY7" s="190" t="s">
        <v>991</v>
      </c>
      <c r="AZ7" s="190" t="s">
        <v>991</v>
      </c>
      <c r="BA7" s="190" t="s">
        <v>991</v>
      </c>
      <c r="BB7" s="190" t="s">
        <v>991</v>
      </c>
      <c r="BC7" s="190" t="s">
        <v>991</v>
      </c>
      <c r="BD7" s="190" t="s">
        <v>991</v>
      </c>
      <c r="BE7" s="190" t="s">
        <v>991</v>
      </c>
      <c r="BF7" s="190" t="s">
        <v>991</v>
      </c>
      <c r="BG7" s="190" t="s">
        <v>991</v>
      </c>
      <c r="BH7" s="190" t="s">
        <v>991</v>
      </c>
      <c r="BI7" s="190" t="s">
        <v>991</v>
      </c>
      <c r="BJ7" s="190" t="s">
        <v>991</v>
      </c>
      <c r="BK7" s="190" t="s">
        <v>991</v>
      </c>
      <c r="BL7" s="190" t="s">
        <v>991</v>
      </c>
      <c r="BM7" s="190" t="s">
        <v>991</v>
      </c>
      <c r="BN7" s="190" t="s">
        <v>991</v>
      </c>
      <c r="BO7" s="190" t="s">
        <v>991</v>
      </c>
      <c r="BP7" s="190" t="s">
        <v>991</v>
      </c>
      <c r="BQ7" s="190" t="s">
        <v>991</v>
      </c>
      <c r="BR7" s="190" t="s">
        <v>991</v>
      </c>
      <c r="BS7" s="190" t="s">
        <v>991</v>
      </c>
      <c r="BT7" s="190" t="s">
        <v>991</v>
      </c>
      <c r="BU7" s="190" t="s">
        <v>991</v>
      </c>
      <c r="BV7" s="190" t="s">
        <v>991</v>
      </c>
      <c r="BW7" s="190" t="s">
        <v>991</v>
      </c>
      <c r="BX7" s="190" t="s">
        <v>991</v>
      </c>
      <c r="BY7" s="190" t="s">
        <v>991</v>
      </c>
      <c r="BZ7" s="190" t="s">
        <v>991</v>
      </c>
      <c r="CA7" s="190" t="s">
        <v>991</v>
      </c>
      <c r="CB7" s="190" t="s">
        <v>991</v>
      </c>
      <c r="CC7" s="190" t="s">
        <v>991</v>
      </c>
      <c r="CD7" s="190" t="s">
        <v>991</v>
      </c>
      <c r="CE7" s="190" t="s">
        <v>991</v>
      </c>
      <c r="CF7" s="190" t="s">
        <v>991</v>
      </c>
      <c r="CG7" s="190" t="s">
        <v>991</v>
      </c>
      <c r="CH7" s="190" t="s">
        <v>991</v>
      </c>
      <c r="CI7" s="190" t="s">
        <v>991</v>
      </c>
      <c r="CJ7" s="190" t="s">
        <v>991</v>
      </c>
      <c r="CK7" s="190" t="s">
        <v>991</v>
      </c>
      <c r="CL7" s="190" t="s">
        <v>991</v>
      </c>
      <c r="CM7" s="190" t="s">
        <v>991</v>
      </c>
      <c r="CN7" s="190" t="s">
        <v>991</v>
      </c>
      <c r="CO7" s="190" t="s">
        <v>991</v>
      </c>
      <c r="CP7" s="190" t="s">
        <v>991</v>
      </c>
      <c r="CQ7" s="190" t="s">
        <v>991</v>
      </c>
      <c r="CR7" s="190"/>
      <c r="CS7" s="190" t="s">
        <v>991</v>
      </c>
      <c r="CT7" s="190" t="s">
        <v>991</v>
      </c>
      <c r="CU7" s="190" t="s">
        <v>992</v>
      </c>
      <c r="CV7" s="190" t="s">
        <v>992</v>
      </c>
      <c r="CW7" s="190"/>
      <c r="CX7" s="190" t="s">
        <v>991</v>
      </c>
      <c r="CY7" s="190" t="s">
        <v>991</v>
      </c>
      <c r="CZ7" s="190" t="s">
        <v>991</v>
      </c>
      <c r="DA7" s="190" t="s">
        <v>991</v>
      </c>
      <c r="DB7" s="190" t="s">
        <v>991</v>
      </c>
      <c r="DC7" s="190" t="s">
        <v>991</v>
      </c>
      <c r="DD7" s="190" t="s">
        <v>991</v>
      </c>
      <c r="DE7" s="190"/>
      <c r="DF7" s="174">
        <v>6</v>
      </c>
      <c r="DH7" s="268" t="s">
        <v>895</v>
      </c>
      <c r="DI7" s="268" t="s">
        <v>4359</v>
      </c>
      <c r="DJ7" s="268">
        <v>6</v>
      </c>
      <c r="DK7" s="268">
        <v>-2</v>
      </c>
      <c r="DL7" s="268">
        <v>4</v>
      </c>
      <c r="DM7" s="268"/>
      <c r="DN7" s="268"/>
      <c r="DO7" s="268">
        <v>4</v>
      </c>
      <c r="DP7" s="268">
        <v>-2</v>
      </c>
      <c r="DQ7" s="268">
        <v>-2</v>
      </c>
      <c r="DR7" s="268">
        <v>-4</v>
      </c>
      <c r="DS7" s="268"/>
      <c r="DT7" s="268">
        <v>20</v>
      </c>
      <c r="DU7" s="268"/>
      <c r="DV7" s="268">
        <v>20</v>
      </c>
      <c r="DW7" s="268">
        <v>30</v>
      </c>
      <c r="DX7" s="268">
        <v>15</v>
      </c>
      <c r="DY7" s="268">
        <v>1</v>
      </c>
      <c r="DZ7" s="268">
        <v>4</v>
      </c>
      <c r="EA7" s="268">
        <v>0.5</v>
      </c>
      <c r="EB7" s="268">
        <v>40</v>
      </c>
      <c r="EC7" s="174">
        <f t="shared" si="6"/>
        <v>4</v>
      </c>
      <c r="ED7" s="268" t="s">
        <v>4188</v>
      </c>
      <c r="EE7" s="174">
        <v>6543</v>
      </c>
      <c r="EF7" s="174">
        <v>6543</v>
      </c>
      <c r="EG7" s="174">
        <v>7654</v>
      </c>
      <c r="EH7" s="174">
        <v>6543</v>
      </c>
      <c r="EI7" s="174">
        <v>6543</v>
      </c>
      <c r="EJ7" s="174">
        <v>6543</v>
      </c>
      <c r="EK7" s="174">
        <v>6543</v>
      </c>
      <c r="EL7" s="174">
        <v>6521</v>
      </c>
      <c r="EN7" s="182" t="s">
        <v>1000</v>
      </c>
      <c r="EO7" s="174">
        <v>3</v>
      </c>
      <c r="EP7" s="174">
        <v>2</v>
      </c>
      <c r="EQ7" s="174">
        <v>1</v>
      </c>
      <c r="ER7" s="174">
        <v>1</v>
      </c>
      <c r="ES7" s="174">
        <v>2</v>
      </c>
      <c r="ET7" s="174">
        <v>4</v>
      </c>
      <c r="EV7" s="174">
        <v>1</v>
      </c>
      <c r="FI7" s="174">
        <v>1</v>
      </c>
      <c r="FJ7" s="174">
        <v>1</v>
      </c>
      <c r="FR7" s="174">
        <v>1</v>
      </c>
      <c r="FU7" s="174">
        <v>1</v>
      </c>
      <c r="FY7" s="174">
        <v>2</v>
      </c>
      <c r="FZ7" s="174">
        <v>1</v>
      </c>
      <c r="HA7" s="174">
        <v>6</v>
      </c>
      <c r="HB7" s="197">
        <v>4</v>
      </c>
      <c r="HC7" s="183">
        <v>8</v>
      </c>
      <c r="HD7" s="183">
        <v>12</v>
      </c>
      <c r="HE7" s="183">
        <v>4</v>
      </c>
      <c r="HF7" s="183">
        <v>20</v>
      </c>
      <c r="HG7" s="193">
        <f t="shared" si="3"/>
        <v>20</v>
      </c>
      <c r="HH7" s="192" t="e">
        <f t="shared" si="7"/>
        <v>#REF!</v>
      </c>
      <c r="HI7" s="198">
        <v>4</v>
      </c>
      <c r="HJ7" s="185">
        <v>20</v>
      </c>
      <c r="HK7" s="174">
        <v>5</v>
      </c>
      <c r="HL7" s="174">
        <f t="shared" si="8"/>
        <v>40</v>
      </c>
      <c r="HM7" s="174">
        <f t="shared" si="9"/>
        <v>35</v>
      </c>
      <c r="HN7" s="174">
        <f t="shared" si="10"/>
        <v>35</v>
      </c>
      <c r="HO7" s="174">
        <f t="shared" si="11"/>
        <v>35</v>
      </c>
      <c r="HP7" s="174">
        <f t="shared" si="12"/>
        <v>35</v>
      </c>
      <c r="HQ7" s="174">
        <f t="shared" si="13"/>
        <v>35</v>
      </c>
      <c r="HR7" s="174">
        <f t="shared" si="14"/>
        <v>35</v>
      </c>
      <c r="HS7" s="174">
        <f t="shared" si="15"/>
        <v>35</v>
      </c>
      <c r="HT7" s="174">
        <f t="shared" si="16"/>
        <v>35</v>
      </c>
      <c r="HU7" s="174">
        <f t="shared" si="17"/>
        <v>30</v>
      </c>
      <c r="HV7" s="174">
        <f t="shared" si="18"/>
        <v>30</v>
      </c>
      <c r="HW7" s="174">
        <f t="shared" si="19"/>
        <v>30</v>
      </c>
      <c r="HX7" s="174">
        <f t="shared" si="20"/>
        <v>30</v>
      </c>
      <c r="HY7" s="174">
        <f t="shared" si="21"/>
        <v>30</v>
      </c>
      <c r="HZ7" s="174">
        <f t="shared" si="22"/>
        <v>30</v>
      </c>
      <c r="IA7" s="174">
        <f t="shared" si="23"/>
        <v>30</v>
      </c>
      <c r="IB7" s="174">
        <f t="shared" si="24"/>
        <v>25</v>
      </c>
      <c r="IC7" s="174">
        <f t="shared" si="25"/>
        <v>25</v>
      </c>
      <c r="ID7" s="174">
        <f t="shared" si="26"/>
        <v>25</v>
      </c>
      <c r="IE7" s="174">
        <f t="shared" si="27"/>
        <v>20</v>
      </c>
      <c r="IF7" s="174">
        <f t="shared" si="28"/>
        <v>20</v>
      </c>
      <c r="IG7" s="174">
        <f t="shared" si="29"/>
        <v>15</v>
      </c>
      <c r="IH7" s="174">
        <f t="shared" si="30"/>
        <v>15</v>
      </c>
      <c r="II7" s="174">
        <f t="shared" si="31"/>
        <v>10</v>
      </c>
      <c r="IJ7" s="174">
        <v>7</v>
      </c>
      <c r="IN7" s="174">
        <f>Skills!K318</f>
        <v>-14.50994</v>
      </c>
      <c r="IO7" s="174" t="str">
        <f>Skills!B318</f>
        <v>1-H Edged</v>
      </c>
      <c r="IR7" s="174">
        <v>50000</v>
      </c>
      <c r="IS7" s="174">
        <v>5</v>
      </c>
    </row>
    <row r="8" spans="1:253" ht="13.35" customHeight="1" x14ac:dyDescent="0.2">
      <c r="A8" s="183">
        <f t="shared" si="1"/>
        <v>7</v>
      </c>
      <c r="B8" s="184">
        <f t="shared" si="0"/>
        <v>-7</v>
      </c>
      <c r="C8" s="183">
        <f t="shared" si="2"/>
        <v>7</v>
      </c>
      <c r="E8" s="189" t="s">
        <v>434</v>
      </c>
      <c r="F8" s="190" t="s">
        <v>991</v>
      </c>
      <c r="G8" s="190" t="s">
        <v>1001</v>
      </c>
      <c r="H8" s="190" t="s">
        <v>995</v>
      </c>
      <c r="I8" s="190" t="s">
        <v>991</v>
      </c>
      <c r="J8" s="190" t="s">
        <v>1001</v>
      </c>
      <c r="K8" s="190" t="s">
        <v>1002</v>
      </c>
      <c r="L8" s="190" t="s">
        <v>1003</v>
      </c>
      <c r="M8" s="190" t="s">
        <v>1004</v>
      </c>
      <c r="N8" s="190" t="s">
        <v>1005</v>
      </c>
      <c r="O8" s="190" t="s">
        <v>1004</v>
      </c>
      <c r="P8" s="190" t="s">
        <v>1002</v>
      </c>
      <c r="Q8" s="190" t="s">
        <v>1002</v>
      </c>
      <c r="R8" s="190" t="s">
        <v>1003</v>
      </c>
      <c r="S8" s="190" t="s">
        <v>1003</v>
      </c>
      <c r="T8" s="190" t="s">
        <v>1006</v>
      </c>
      <c r="U8" s="190" t="s">
        <v>1006</v>
      </c>
      <c r="V8" s="190" t="s">
        <v>1006</v>
      </c>
      <c r="W8" s="190" t="s">
        <v>1007</v>
      </c>
      <c r="X8" s="190" t="s">
        <v>1008</v>
      </c>
      <c r="Y8" s="190" t="s">
        <v>1007</v>
      </c>
      <c r="Z8" s="190"/>
      <c r="AA8" s="190" t="s">
        <v>1003</v>
      </c>
      <c r="AB8" s="190" t="s">
        <v>1003</v>
      </c>
      <c r="AC8" s="190" t="s">
        <v>1001</v>
      </c>
      <c r="AD8" s="190" t="s">
        <v>1001</v>
      </c>
      <c r="AE8" s="190"/>
      <c r="AF8" s="190" t="s">
        <v>1002</v>
      </c>
      <c r="AG8" s="190" t="s">
        <v>1003</v>
      </c>
      <c r="AH8" s="190" t="s">
        <v>1006</v>
      </c>
      <c r="AI8" s="190"/>
      <c r="AJ8" s="190" t="s">
        <v>1006</v>
      </c>
      <c r="AK8" s="190" t="s">
        <v>1003</v>
      </c>
      <c r="AL8" s="190" t="s">
        <v>1004</v>
      </c>
      <c r="AM8" s="190" t="s">
        <v>1003</v>
      </c>
      <c r="AN8" s="190"/>
      <c r="AO8" s="190" t="s">
        <v>1003</v>
      </c>
      <c r="AP8" s="190" t="s">
        <v>1003</v>
      </c>
      <c r="AQ8" s="190" t="s">
        <v>1006</v>
      </c>
      <c r="AR8" s="190"/>
      <c r="AS8" s="190" t="s">
        <v>1004</v>
      </c>
      <c r="AT8" s="190" t="s">
        <v>1004</v>
      </c>
      <c r="AU8" s="190" t="s">
        <v>1004</v>
      </c>
      <c r="AV8" s="190" t="s">
        <v>1004</v>
      </c>
      <c r="AW8" s="190" t="s">
        <v>1004</v>
      </c>
      <c r="AX8" s="190" t="s">
        <v>1004</v>
      </c>
      <c r="AY8" s="190" t="s">
        <v>1004</v>
      </c>
      <c r="AZ8" s="190" t="s">
        <v>1004</v>
      </c>
      <c r="BA8" s="190" t="s">
        <v>1004</v>
      </c>
      <c r="BB8" s="190" t="s">
        <v>1004</v>
      </c>
      <c r="BC8" s="190" t="s">
        <v>1004</v>
      </c>
      <c r="BD8" s="190" t="s">
        <v>1004</v>
      </c>
      <c r="BE8" s="190" t="s">
        <v>1004</v>
      </c>
      <c r="BF8" s="190" t="s">
        <v>1004</v>
      </c>
      <c r="BG8" s="190" t="s">
        <v>1004</v>
      </c>
      <c r="BH8" s="190" t="s">
        <v>1004</v>
      </c>
      <c r="BI8" s="190" t="s">
        <v>1004</v>
      </c>
      <c r="BJ8" s="190" t="s">
        <v>1004</v>
      </c>
      <c r="BK8" s="190" t="s">
        <v>1004</v>
      </c>
      <c r="BL8" s="190" t="s">
        <v>1004</v>
      </c>
      <c r="BM8" s="190" t="s">
        <v>1004</v>
      </c>
      <c r="BN8" s="190" t="s">
        <v>1004</v>
      </c>
      <c r="BO8" s="190" t="s">
        <v>1004</v>
      </c>
      <c r="BP8" s="190" t="s">
        <v>1004</v>
      </c>
      <c r="BQ8" s="190" t="s">
        <v>1004</v>
      </c>
      <c r="BR8" s="190" t="s">
        <v>1004</v>
      </c>
      <c r="BS8" s="190" t="s">
        <v>1004</v>
      </c>
      <c r="BT8" s="190" t="s">
        <v>1004</v>
      </c>
      <c r="BU8" s="190" t="s">
        <v>1004</v>
      </c>
      <c r="BV8" s="190" t="s">
        <v>1004</v>
      </c>
      <c r="BW8" s="190" t="s">
        <v>1004</v>
      </c>
      <c r="BX8" s="190" t="s">
        <v>1004</v>
      </c>
      <c r="BY8" s="190" t="s">
        <v>1004</v>
      </c>
      <c r="BZ8" s="190" t="s">
        <v>1004</v>
      </c>
      <c r="CA8" s="190" t="s">
        <v>1004</v>
      </c>
      <c r="CB8" s="190" t="s">
        <v>1004</v>
      </c>
      <c r="CC8" s="190" t="s">
        <v>1004</v>
      </c>
      <c r="CD8" s="190" t="s">
        <v>1004</v>
      </c>
      <c r="CE8" s="190" t="s">
        <v>1004</v>
      </c>
      <c r="CF8" s="190" t="s">
        <v>1004</v>
      </c>
      <c r="CG8" s="190" t="s">
        <v>1004</v>
      </c>
      <c r="CH8" s="190" t="s">
        <v>1004</v>
      </c>
      <c r="CI8" s="190" t="s">
        <v>1004</v>
      </c>
      <c r="CJ8" s="190" t="s">
        <v>1004</v>
      </c>
      <c r="CK8" s="190" t="s">
        <v>1004</v>
      </c>
      <c r="CL8" s="190" t="s">
        <v>1004</v>
      </c>
      <c r="CM8" s="190" t="s">
        <v>1004</v>
      </c>
      <c r="CN8" s="190" t="s">
        <v>1004</v>
      </c>
      <c r="CO8" s="190" t="s">
        <v>1004</v>
      </c>
      <c r="CP8" s="190" t="s">
        <v>1004</v>
      </c>
      <c r="CQ8" s="190" t="s">
        <v>1004</v>
      </c>
      <c r="CR8" s="190"/>
      <c r="CS8" s="190" t="s">
        <v>992</v>
      </c>
      <c r="CT8" s="190" t="s">
        <v>991</v>
      </c>
      <c r="CU8" s="190" t="s">
        <v>1001</v>
      </c>
      <c r="CV8" s="190" t="s">
        <v>995</v>
      </c>
      <c r="CW8" s="190"/>
      <c r="CX8" s="190" t="s">
        <v>1006</v>
      </c>
      <c r="CY8" s="190" t="s">
        <v>1004</v>
      </c>
      <c r="CZ8" s="190" t="s">
        <v>1005</v>
      </c>
      <c r="DA8" s="190" t="s">
        <v>992</v>
      </c>
      <c r="DB8" s="190" t="s">
        <v>1009</v>
      </c>
      <c r="DC8" s="190" t="s">
        <v>1009</v>
      </c>
      <c r="DD8" s="190" t="s">
        <v>1009</v>
      </c>
      <c r="DE8" s="190"/>
      <c r="DF8" s="174">
        <v>7</v>
      </c>
      <c r="DH8" s="268" t="s">
        <v>895</v>
      </c>
      <c r="DI8" s="268" t="s">
        <v>4364</v>
      </c>
      <c r="DJ8" s="268">
        <v>4</v>
      </c>
      <c r="DK8" s="268"/>
      <c r="DL8" s="268">
        <v>4</v>
      </c>
      <c r="DM8" s="268"/>
      <c r="DN8" s="268"/>
      <c r="DO8" s="268">
        <v>4</v>
      </c>
      <c r="DP8" s="268">
        <v>-2</v>
      </c>
      <c r="DQ8" s="268">
        <v>-2</v>
      </c>
      <c r="DR8" s="268">
        <v>-4</v>
      </c>
      <c r="DS8" s="268"/>
      <c r="DT8" s="268">
        <v>20</v>
      </c>
      <c r="DU8" s="268"/>
      <c r="DV8" s="268">
        <v>20</v>
      </c>
      <c r="DW8" s="268">
        <v>30</v>
      </c>
      <c r="DX8" s="268">
        <v>15</v>
      </c>
      <c r="DY8" s="268">
        <v>1</v>
      </c>
      <c r="DZ8" s="268">
        <v>4</v>
      </c>
      <c r="EA8" s="268">
        <v>0.5</v>
      </c>
      <c r="EB8" s="268">
        <v>40</v>
      </c>
      <c r="EC8" s="174">
        <f t="shared" si="6"/>
        <v>4</v>
      </c>
      <c r="ED8" s="268" t="s">
        <v>913</v>
      </c>
      <c r="EE8" s="174">
        <v>3211</v>
      </c>
      <c r="EF8" s="174">
        <v>6543</v>
      </c>
      <c r="EG8" s="174">
        <v>3211</v>
      </c>
      <c r="EH8" s="174">
        <v>5322</v>
      </c>
      <c r="EI8" s="174">
        <v>3211</v>
      </c>
      <c r="EJ8" s="174">
        <v>5322</v>
      </c>
      <c r="EK8" s="174">
        <v>4321</v>
      </c>
      <c r="EL8" s="174">
        <v>6421</v>
      </c>
      <c r="EN8" s="174" t="s">
        <v>411</v>
      </c>
      <c r="EO8" s="174">
        <v>3</v>
      </c>
      <c r="EP8" s="174">
        <v>2</v>
      </c>
      <c r="EQ8" s="174">
        <v>1</v>
      </c>
      <c r="ER8" s="174">
        <v>1</v>
      </c>
      <c r="ES8" s="174">
        <v>2</v>
      </c>
      <c r="ET8" s="174">
        <v>4</v>
      </c>
      <c r="EV8" s="174">
        <v>1</v>
      </c>
      <c r="FY8" s="174">
        <v>2</v>
      </c>
      <c r="FZ8" s="174">
        <v>1</v>
      </c>
      <c r="HA8" s="174">
        <v>7</v>
      </c>
      <c r="HB8" s="197">
        <v>5</v>
      </c>
      <c r="HC8" s="183">
        <v>10</v>
      </c>
      <c r="HD8" s="183">
        <v>15</v>
      </c>
      <c r="HE8" s="183">
        <v>5</v>
      </c>
      <c r="HF8" s="183">
        <v>25</v>
      </c>
      <c r="HG8" s="193">
        <f t="shared" si="3"/>
        <v>25</v>
      </c>
      <c r="HH8" s="192" t="e">
        <f t="shared" si="7"/>
        <v>#REF!</v>
      </c>
      <c r="HI8" s="198">
        <v>5</v>
      </c>
      <c r="HJ8" s="185">
        <v>25</v>
      </c>
      <c r="HK8" s="174">
        <v>6</v>
      </c>
      <c r="HL8" s="174">
        <f t="shared" si="8"/>
        <v>48</v>
      </c>
      <c r="HM8" s="174">
        <f t="shared" si="9"/>
        <v>42</v>
      </c>
      <c r="HN8" s="174">
        <f t="shared" si="10"/>
        <v>42</v>
      </c>
      <c r="HO8" s="174">
        <f t="shared" si="11"/>
        <v>42</v>
      </c>
      <c r="HP8" s="174">
        <f t="shared" si="12"/>
        <v>42</v>
      </c>
      <c r="HQ8" s="174">
        <f t="shared" si="13"/>
        <v>42</v>
      </c>
      <c r="HR8" s="174">
        <f t="shared" si="14"/>
        <v>42</v>
      </c>
      <c r="HS8" s="174">
        <f t="shared" si="15"/>
        <v>42</v>
      </c>
      <c r="HT8" s="174">
        <f t="shared" si="16"/>
        <v>42</v>
      </c>
      <c r="HU8" s="174">
        <f t="shared" si="17"/>
        <v>36</v>
      </c>
      <c r="HV8" s="174">
        <f t="shared" si="18"/>
        <v>36</v>
      </c>
      <c r="HW8" s="174">
        <f t="shared" si="19"/>
        <v>36</v>
      </c>
      <c r="HX8" s="174">
        <f t="shared" si="20"/>
        <v>36</v>
      </c>
      <c r="HY8" s="174">
        <f t="shared" si="21"/>
        <v>36</v>
      </c>
      <c r="HZ8" s="174">
        <f t="shared" si="22"/>
        <v>36</v>
      </c>
      <c r="IA8" s="174">
        <f t="shared" si="23"/>
        <v>36</v>
      </c>
      <c r="IB8" s="174">
        <f t="shared" si="24"/>
        <v>30</v>
      </c>
      <c r="IC8" s="174">
        <f t="shared" si="25"/>
        <v>30</v>
      </c>
      <c r="ID8" s="174">
        <f t="shared" si="26"/>
        <v>30</v>
      </c>
      <c r="IE8" s="174">
        <f t="shared" si="27"/>
        <v>24</v>
      </c>
      <c r="IF8" s="174">
        <f t="shared" si="28"/>
        <v>24</v>
      </c>
      <c r="IG8" s="174">
        <f t="shared" si="29"/>
        <v>18</v>
      </c>
      <c r="IH8" s="174">
        <f t="shared" si="30"/>
        <v>18</v>
      </c>
      <c r="II8" s="174">
        <f t="shared" si="31"/>
        <v>12</v>
      </c>
      <c r="IJ8" s="174">
        <v>8</v>
      </c>
      <c r="IN8" s="174">
        <f>Skills!K320</f>
        <v>-14.509930000000001</v>
      </c>
      <c r="IO8" s="174" t="str">
        <f>Skills!B320</f>
        <v>2-Handed</v>
      </c>
      <c r="IR8" s="174">
        <v>70000</v>
      </c>
      <c r="IS8" s="174">
        <v>6</v>
      </c>
    </row>
    <row r="9" spans="1:253" ht="13.35" customHeight="1" x14ac:dyDescent="0.2">
      <c r="A9" s="183">
        <f t="shared" si="1"/>
        <v>8</v>
      </c>
      <c r="B9" s="184">
        <f t="shared" si="0"/>
        <v>-6</v>
      </c>
      <c r="C9" s="183">
        <f t="shared" si="2"/>
        <v>8</v>
      </c>
      <c r="E9" s="189" t="s">
        <v>441</v>
      </c>
      <c r="F9" s="190" t="s">
        <v>995</v>
      </c>
      <c r="G9" s="190" t="s">
        <v>1010</v>
      </c>
      <c r="H9" s="190" t="s">
        <v>991</v>
      </c>
      <c r="I9" s="190" t="s">
        <v>995</v>
      </c>
      <c r="J9" s="190" t="s">
        <v>1010</v>
      </c>
      <c r="K9" s="190" t="s">
        <v>1009</v>
      </c>
      <c r="L9" s="190" t="s">
        <v>1009</v>
      </c>
      <c r="M9" s="190" t="s">
        <v>1009</v>
      </c>
      <c r="N9" s="190" t="s">
        <v>1009</v>
      </c>
      <c r="O9" s="190" t="s">
        <v>1009</v>
      </c>
      <c r="P9" s="190" t="s">
        <v>1009</v>
      </c>
      <c r="Q9" s="190" t="s">
        <v>1009</v>
      </c>
      <c r="R9" s="190" t="s">
        <v>1009</v>
      </c>
      <c r="S9" s="190" t="s">
        <v>1009</v>
      </c>
      <c r="T9" s="190" t="s">
        <v>993</v>
      </c>
      <c r="U9" s="190" t="s">
        <v>1010</v>
      </c>
      <c r="V9" s="190" t="s">
        <v>1010</v>
      </c>
      <c r="W9" s="190" t="s">
        <v>1010</v>
      </c>
      <c r="X9" s="190" t="s">
        <v>1010</v>
      </c>
      <c r="Y9" s="190" t="s">
        <v>1010</v>
      </c>
      <c r="Z9" s="190"/>
      <c r="AA9" s="190" t="s">
        <v>1009</v>
      </c>
      <c r="AB9" s="190" t="s">
        <v>1009</v>
      </c>
      <c r="AC9" s="190" t="s">
        <v>995</v>
      </c>
      <c r="AD9" s="190" t="s">
        <v>995</v>
      </c>
      <c r="AE9" s="190"/>
      <c r="AF9" s="190" t="s">
        <v>1009</v>
      </c>
      <c r="AG9" s="190" t="s">
        <v>1009</v>
      </c>
      <c r="AH9" s="190" t="s">
        <v>1010</v>
      </c>
      <c r="AI9" s="190"/>
      <c r="AJ9" s="190" t="s">
        <v>995</v>
      </c>
      <c r="AK9" s="190" t="s">
        <v>1009</v>
      </c>
      <c r="AL9" s="190" t="s">
        <v>1009</v>
      </c>
      <c r="AM9" s="190" t="s">
        <v>1009</v>
      </c>
      <c r="AN9" s="190"/>
      <c r="AO9" s="190" t="s">
        <v>1009</v>
      </c>
      <c r="AP9" s="190" t="s">
        <v>1009</v>
      </c>
      <c r="AQ9" s="190" t="s">
        <v>991</v>
      </c>
      <c r="AR9" s="190"/>
      <c r="AS9" s="190" t="s">
        <v>1009</v>
      </c>
      <c r="AT9" s="190" t="s">
        <v>1009</v>
      </c>
      <c r="AU9" s="190" t="s">
        <v>1009</v>
      </c>
      <c r="AV9" s="190" t="s">
        <v>1009</v>
      </c>
      <c r="AW9" s="190" t="s">
        <v>1009</v>
      </c>
      <c r="AX9" s="190" t="s">
        <v>1009</v>
      </c>
      <c r="AY9" s="190" t="s">
        <v>1009</v>
      </c>
      <c r="AZ9" s="190" t="s">
        <v>1009</v>
      </c>
      <c r="BA9" s="190" t="s">
        <v>1009</v>
      </c>
      <c r="BB9" s="190" t="s">
        <v>1009</v>
      </c>
      <c r="BC9" s="190" t="s">
        <v>1009</v>
      </c>
      <c r="BD9" s="190" t="s">
        <v>1009</v>
      </c>
      <c r="BE9" s="190" t="s">
        <v>1009</v>
      </c>
      <c r="BF9" s="190" t="s">
        <v>1009</v>
      </c>
      <c r="BG9" s="190" t="s">
        <v>1009</v>
      </c>
      <c r="BH9" s="190" t="s">
        <v>1009</v>
      </c>
      <c r="BI9" s="190" t="s">
        <v>1009</v>
      </c>
      <c r="BJ9" s="190" t="s">
        <v>1009</v>
      </c>
      <c r="BK9" s="190" t="s">
        <v>1009</v>
      </c>
      <c r="BL9" s="190" t="s">
        <v>1009</v>
      </c>
      <c r="BM9" s="190" t="s">
        <v>1009</v>
      </c>
      <c r="BN9" s="190" t="s">
        <v>1009</v>
      </c>
      <c r="BO9" s="190" t="s">
        <v>1009</v>
      </c>
      <c r="BP9" s="190" t="s">
        <v>1009</v>
      </c>
      <c r="BQ9" s="190" t="s">
        <v>1009</v>
      </c>
      <c r="BR9" s="190" t="s">
        <v>1009</v>
      </c>
      <c r="BS9" s="190" t="s">
        <v>1009</v>
      </c>
      <c r="BT9" s="190" t="s">
        <v>1009</v>
      </c>
      <c r="BU9" s="190" t="s">
        <v>1009</v>
      </c>
      <c r="BV9" s="190" t="s">
        <v>1009</v>
      </c>
      <c r="BW9" s="190" t="s">
        <v>1009</v>
      </c>
      <c r="BX9" s="190" t="s">
        <v>1009</v>
      </c>
      <c r="BY9" s="190" t="s">
        <v>1009</v>
      </c>
      <c r="BZ9" s="190" t="s">
        <v>1009</v>
      </c>
      <c r="CA9" s="190" t="s">
        <v>1009</v>
      </c>
      <c r="CB9" s="190" t="s">
        <v>1009</v>
      </c>
      <c r="CC9" s="190" t="s">
        <v>1009</v>
      </c>
      <c r="CD9" s="190" t="s">
        <v>1009</v>
      </c>
      <c r="CE9" s="190" t="s">
        <v>1009</v>
      </c>
      <c r="CF9" s="190" t="s">
        <v>1009</v>
      </c>
      <c r="CG9" s="190" t="s">
        <v>1009</v>
      </c>
      <c r="CH9" s="190" t="s">
        <v>1009</v>
      </c>
      <c r="CI9" s="190" t="s">
        <v>1009</v>
      </c>
      <c r="CJ9" s="190" t="s">
        <v>1009</v>
      </c>
      <c r="CK9" s="190" t="s">
        <v>1009</v>
      </c>
      <c r="CL9" s="190" t="s">
        <v>1009</v>
      </c>
      <c r="CM9" s="190" t="s">
        <v>1009</v>
      </c>
      <c r="CN9" s="190" t="s">
        <v>1009</v>
      </c>
      <c r="CO9" s="190" t="s">
        <v>1009</v>
      </c>
      <c r="CP9" s="190" t="s">
        <v>1009</v>
      </c>
      <c r="CQ9" s="190" t="s">
        <v>1009</v>
      </c>
      <c r="CR9" s="190"/>
      <c r="CS9" s="190" t="s">
        <v>991</v>
      </c>
      <c r="CT9" s="190" t="s">
        <v>993</v>
      </c>
      <c r="CU9" s="190" t="s">
        <v>1001</v>
      </c>
      <c r="CV9" s="190" t="s">
        <v>995</v>
      </c>
      <c r="CW9" s="190"/>
      <c r="CX9" s="190" t="s">
        <v>1010</v>
      </c>
      <c r="CY9" s="190" t="s">
        <v>1009</v>
      </c>
      <c r="CZ9" s="190" t="s">
        <v>1009</v>
      </c>
      <c r="DA9" s="190" t="s">
        <v>991</v>
      </c>
      <c r="DB9" s="190" t="s">
        <v>1009</v>
      </c>
      <c r="DC9" s="190" t="s">
        <v>1009</v>
      </c>
      <c r="DD9" s="190" t="s">
        <v>1009</v>
      </c>
      <c r="DE9" s="190"/>
      <c r="DF9" s="174">
        <v>8</v>
      </c>
      <c r="DH9" s="268" t="s">
        <v>4055</v>
      </c>
      <c r="DI9" s="268" t="s">
        <v>4181</v>
      </c>
      <c r="DJ9" s="268">
        <v>2</v>
      </c>
      <c r="DK9" s="268">
        <v>4</v>
      </c>
      <c r="DL9" s="268">
        <v>-5</v>
      </c>
      <c r="DM9" s="268"/>
      <c r="DN9" s="268"/>
      <c r="DO9" s="268">
        <v>2</v>
      </c>
      <c r="DP9" s="268">
        <v>4</v>
      </c>
      <c r="DQ9" s="268"/>
      <c r="DR9" s="268"/>
      <c r="DS9" s="268"/>
      <c r="DT9" s="268">
        <v>10</v>
      </c>
      <c r="DU9" s="268"/>
      <c r="DV9" s="268">
        <v>10</v>
      </c>
      <c r="DW9" s="268">
        <v>20</v>
      </c>
      <c r="DX9" s="268">
        <v>15</v>
      </c>
      <c r="DY9" s="268">
        <v>1</v>
      </c>
      <c r="DZ9" s="268">
        <v>4</v>
      </c>
      <c r="EA9" s="268">
        <v>0.5</v>
      </c>
      <c r="EB9" s="268">
        <v>25</v>
      </c>
      <c r="EC9" s="174">
        <f t="shared" si="6"/>
        <v>7</v>
      </c>
      <c r="ED9" s="268" t="s">
        <v>4195</v>
      </c>
      <c r="EE9" s="174">
        <v>6543</v>
      </c>
      <c r="EF9" s="174">
        <v>6543</v>
      </c>
      <c r="EG9" s="174">
        <v>7654</v>
      </c>
      <c r="EH9" s="174">
        <v>6543</v>
      </c>
      <c r="EI9" s="174">
        <v>6543</v>
      </c>
      <c r="EJ9" s="174">
        <v>6543</v>
      </c>
      <c r="EK9" s="174">
        <v>6543</v>
      </c>
      <c r="EL9" s="174">
        <v>7521</v>
      </c>
      <c r="EN9" s="182" t="s">
        <v>1012</v>
      </c>
      <c r="EO9" s="174">
        <v>2</v>
      </c>
      <c r="EP9" s="174">
        <v>1</v>
      </c>
      <c r="EQ9" s="174">
        <v>1</v>
      </c>
      <c r="ER9" s="174">
        <v>1</v>
      </c>
      <c r="ES9" s="174">
        <v>1</v>
      </c>
      <c r="ET9" s="174">
        <v>1</v>
      </c>
      <c r="EV9" s="174">
        <v>1</v>
      </c>
      <c r="EW9" s="174">
        <v>1</v>
      </c>
      <c r="EX9" s="174">
        <v>1</v>
      </c>
      <c r="EY9" s="174">
        <v>1</v>
      </c>
      <c r="EZ9" s="174">
        <v>1</v>
      </c>
      <c r="FA9" s="174">
        <v>1</v>
      </c>
      <c r="FB9" s="174">
        <v>1</v>
      </c>
      <c r="FC9" s="174">
        <v>1</v>
      </c>
      <c r="FD9" s="174">
        <v>1</v>
      </c>
      <c r="FE9" s="174">
        <v>1</v>
      </c>
      <c r="FF9" s="174">
        <v>1</v>
      </c>
      <c r="FG9" s="174">
        <v>1</v>
      </c>
      <c r="FH9" s="174">
        <v>1</v>
      </c>
      <c r="FI9" s="174">
        <v>1</v>
      </c>
      <c r="FJ9" s="174">
        <v>1</v>
      </c>
      <c r="FK9" s="174">
        <v>1</v>
      </c>
      <c r="FL9" s="174">
        <v>1</v>
      </c>
      <c r="FM9" s="174">
        <v>1</v>
      </c>
      <c r="FN9" s="174">
        <v>1</v>
      </c>
      <c r="FO9" s="174">
        <v>1</v>
      </c>
      <c r="FQ9" s="174">
        <v>1</v>
      </c>
      <c r="FR9" s="174">
        <v>1</v>
      </c>
      <c r="FS9" s="174">
        <v>1</v>
      </c>
      <c r="FT9" s="174">
        <v>1</v>
      </c>
      <c r="FU9" s="174">
        <v>1</v>
      </c>
      <c r="FV9" s="174">
        <v>1</v>
      </c>
      <c r="FW9" s="174">
        <v>1</v>
      </c>
      <c r="FX9" s="174">
        <v>1</v>
      </c>
      <c r="FY9" s="174">
        <v>1</v>
      </c>
      <c r="FZ9" s="174">
        <v>1</v>
      </c>
      <c r="HA9" s="174">
        <v>8</v>
      </c>
      <c r="HB9" s="197">
        <v>6</v>
      </c>
      <c r="HC9" s="183">
        <v>12</v>
      </c>
      <c r="HD9" s="183">
        <v>18</v>
      </c>
      <c r="HE9" s="183">
        <v>6</v>
      </c>
      <c r="HF9" s="183">
        <v>30</v>
      </c>
      <c r="HG9" s="193">
        <f t="shared" si="3"/>
        <v>30</v>
      </c>
      <c r="HH9" s="192" t="e">
        <f t="shared" si="7"/>
        <v>#REF!</v>
      </c>
      <c r="HI9" s="198">
        <v>6</v>
      </c>
      <c r="HJ9" s="185">
        <v>30</v>
      </c>
      <c r="HK9" s="174">
        <v>7</v>
      </c>
      <c r="HL9" s="174">
        <f t="shared" si="8"/>
        <v>56</v>
      </c>
      <c r="HM9" s="174">
        <f t="shared" si="9"/>
        <v>49</v>
      </c>
      <c r="HN9" s="174">
        <f t="shared" si="10"/>
        <v>49</v>
      </c>
      <c r="HO9" s="174">
        <f t="shared" si="11"/>
        <v>49</v>
      </c>
      <c r="HP9" s="174">
        <f t="shared" si="12"/>
        <v>49</v>
      </c>
      <c r="HQ9" s="174">
        <f t="shared" si="13"/>
        <v>49</v>
      </c>
      <c r="HR9" s="174">
        <f t="shared" si="14"/>
        <v>49</v>
      </c>
      <c r="HS9" s="174">
        <f t="shared" si="15"/>
        <v>49</v>
      </c>
      <c r="HT9" s="174">
        <f t="shared" si="16"/>
        <v>49</v>
      </c>
      <c r="HU9" s="174">
        <f t="shared" si="17"/>
        <v>42</v>
      </c>
      <c r="HV9" s="174">
        <f t="shared" si="18"/>
        <v>42</v>
      </c>
      <c r="HW9" s="174">
        <f t="shared" si="19"/>
        <v>42</v>
      </c>
      <c r="HX9" s="174">
        <f t="shared" si="20"/>
        <v>42</v>
      </c>
      <c r="HY9" s="174">
        <f t="shared" si="21"/>
        <v>42</v>
      </c>
      <c r="HZ9" s="174">
        <f t="shared" si="22"/>
        <v>42</v>
      </c>
      <c r="IA9" s="174">
        <f t="shared" si="23"/>
        <v>42</v>
      </c>
      <c r="IB9" s="174">
        <f t="shared" si="24"/>
        <v>35</v>
      </c>
      <c r="IC9" s="174">
        <f t="shared" si="25"/>
        <v>35</v>
      </c>
      <c r="ID9" s="174">
        <f t="shared" si="26"/>
        <v>35</v>
      </c>
      <c r="IE9" s="174">
        <f t="shared" si="27"/>
        <v>28</v>
      </c>
      <c r="IF9" s="174">
        <f t="shared" si="28"/>
        <v>28</v>
      </c>
      <c r="IG9" s="174">
        <f t="shared" si="29"/>
        <v>21</v>
      </c>
      <c r="IH9" s="174">
        <f t="shared" si="30"/>
        <v>21</v>
      </c>
      <c r="II9" s="174">
        <f t="shared" si="31"/>
        <v>14</v>
      </c>
      <c r="IJ9" s="174">
        <v>9</v>
      </c>
      <c r="IN9" s="174">
        <f>Skills!K321</f>
        <v>-14.509919999999999</v>
      </c>
      <c r="IO9" s="174" t="str">
        <f>Skills!B321</f>
        <v>2-Handed</v>
      </c>
      <c r="IR9" s="174">
        <v>90000</v>
      </c>
      <c r="IS9" s="174">
        <v>7</v>
      </c>
    </row>
    <row r="10" spans="1:253" ht="13.35" customHeight="1" x14ac:dyDescent="0.2">
      <c r="A10" s="183">
        <f t="shared" si="1"/>
        <v>9</v>
      </c>
      <c r="B10" s="184">
        <f t="shared" si="0"/>
        <v>-6</v>
      </c>
      <c r="C10" s="183">
        <f t="shared" si="2"/>
        <v>9</v>
      </c>
      <c r="E10" s="189" t="s">
        <v>454</v>
      </c>
      <c r="F10" s="190" t="s">
        <v>991</v>
      </c>
      <c r="G10" s="190" t="s">
        <v>999</v>
      </c>
      <c r="H10" s="190" t="s">
        <v>993</v>
      </c>
      <c r="I10" s="190" t="s">
        <v>999</v>
      </c>
      <c r="J10" s="190" t="s">
        <v>995</v>
      </c>
      <c r="K10" s="190" t="s">
        <v>1009</v>
      </c>
      <c r="L10" s="190" t="s">
        <v>1009</v>
      </c>
      <c r="M10" s="190" t="s">
        <v>1009</v>
      </c>
      <c r="N10" s="190" t="s">
        <v>1009</v>
      </c>
      <c r="O10" s="190" t="s">
        <v>1007</v>
      </c>
      <c r="P10" s="190" t="s">
        <v>1007</v>
      </c>
      <c r="Q10" s="190" t="s">
        <v>1009</v>
      </c>
      <c r="R10" s="190" t="s">
        <v>1009</v>
      </c>
      <c r="S10" s="190" t="s">
        <v>1009</v>
      </c>
      <c r="T10" s="190" t="s">
        <v>1001</v>
      </c>
      <c r="U10" s="190" t="s">
        <v>1006</v>
      </c>
      <c r="V10" s="190" t="s">
        <v>993</v>
      </c>
      <c r="W10" s="190" t="s">
        <v>992</v>
      </c>
      <c r="X10" s="190" t="s">
        <v>995</v>
      </c>
      <c r="Y10" s="190" t="s">
        <v>992</v>
      </c>
      <c r="Z10" s="190"/>
      <c r="AA10" s="190" t="s">
        <v>1009</v>
      </c>
      <c r="AB10" s="190" t="s">
        <v>1009</v>
      </c>
      <c r="AC10" s="190" t="s">
        <v>995</v>
      </c>
      <c r="AD10" s="190" t="s">
        <v>993</v>
      </c>
      <c r="AE10" s="190"/>
      <c r="AF10" s="190" t="s">
        <v>1009</v>
      </c>
      <c r="AG10" s="190" t="s">
        <v>1009</v>
      </c>
      <c r="AH10" s="190" t="s">
        <v>1006</v>
      </c>
      <c r="AI10" s="190"/>
      <c r="AJ10" s="190" t="s">
        <v>1001</v>
      </c>
      <c r="AK10" s="190" t="s">
        <v>1009</v>
      </c>
      <c r="AL10" s="190" t="s">
        <v>1007</v>
      </c>
      <c r="AM10" s="190" t="s">
        <v>1009</v>
      </c>
      <c r="AN10" s="190"/>
      <c r="AO10" s="190" t="s">
        <v>1009</v>
      </c>
      <c r="AP10" s="190" t="s">
        <v>1009</v>
      </c>
      <c r="AQ10" s="190" t="s">
        <v>991</v>
      </c>
      <c r="AR10" s="190"/>
      <c r="AS10" s="190" t="s">
        <v>1009</v>
      </c>
      <c r="AT10" s="190" t="s">
        <v>1009</v>
      </c>
      <c r="AU10" s="190" t="s">
        <v>1009</v>
      </c>
      <c r="AV10" s="190" t="s">
        <v>1009</v>
      </c>
      <c r="AW10" s="190" t="s">
        <v>1009</v>
      </c>
      <c r="AX10" s="190" t="s">
        <v>1009</v>
      </c>
      <c r="AY10" s="190" t="s">
        <v>1009</v>
      </c>
      <c r="AZ10" s="190" t="s">
        <v>1009</v>
      </c>
      <c r="BA10" s="190" t="s">
        <v>1009</v>
      </c>
      <c r="BB10" s="190" t="s">
        <v>1009</v>
      </c>
      <c r="BC10" s="190" t="s">
        <v>1009</v>
      </c>
      <c r="BD10" s="190" t="s">
        <v>1009</v>
      </c>
      <c r="BE10" s="190" t="s">
        <v>1009</v>
      </c>
      <c r="BF10" s="190" t="s">
        <v>1009</v>
      </c>
      <c r="BG10" s="190" t="s">
        <v>1009</v>
      </c>
      <c r="BH10" s="190" t="s">
        <v>1009</v>
      </c>
      <c r="BI10" s="190" t="s">
        <v>1009</v>
      </c>
      <c r="BJ10" s="190" t="s">
        <v>1009</v>
      </c>
      <c r="BK10" s="190" t="s">
        <v>1009</v>
      </c>
      <c r="BL10" s="190" t="s">
        <v>1009</v>
      </c>
      <c r="BM10" s="190" t="s">
        <v>1009</v>
      </c>
      <c r="BN10" s="190" t="s">
        <v>1009</v>
      </c>
      <c r="BO10" s="190" t="s">
        <v>1009</v>
      </c>
      <c r="BP10" s="190" t="s">
        <v>1009</v>
      </c>
      <c r="BQ10" s="190" t="s">
        <v>1009</v>
      </c>
      <c r="BR10" s="190" t="s">
        <v>1009</v>
      </c>
      <c r="BS10" s="190" t="s">
        <v>1009</v>
      </c>
      <c r="BT10" s="190" t="s">
        <v>1009</v>
      </c>
      <c r="BU10" s="190" t="s">
        <v>1009</v>
      </c>
      <c r="BV10" s="190" t="s">
        <v>1009</v>
      </c>
      <c r="BW10" s="190" t="s">
        <v>1009</v>
      </c>
      <c r="BX10" s="190" t="s">
        <v>1009</v>
      </c>
      <c r="BY10" s="190" t="s">
        <v>1009</v>
      </c>
      <c r="BZ10" s="190" t="s">
        <v>1009</v>
      </c>
      <c r="CA10" s="190" t="s">
        <v>1009</v>
      </c>
      <c r="CB10" s="190" t="s">
        <v>1009</v>
      </c>
      <c r="CC10" s="190" t="s">
        <v>1009</v>
      </c>
      <c r="CD10" s="190" t="s">
        <v>1009</v>
      </c>
      <c r="CE10" s="190" t="s">
        <v>1009</v>
      </c>
      <c r="CF10" s="190" t="s">
        <v>1009</v>
      </c>
      <c r="CG10" s="190" t="s">
        <v>1009</v>
      </c>
      <c r="CH10" s="190" t="s">
        <v>1009</v>
      </c>
      <c r="CI10" s="190" t="s">
        <v>1009</v>
      </c>
      <c r="CJ10" s="190" t="s">
        <v>1009</v>
      </c>
      <c r="CK10" s="190" t="s">
        <v>1009</v>
      </c>
      <c r="CL10" s="190" t="s">
        <v>1009</v>
      </c>
      <c r="CM10" s="190" t="s">
        <v>1009</v>
      </c>
      <c r="CN10" s="190" t="s">
        <v>1009</v>
      </c>
      <c r="CO10" s="190" t="s">
        <v>1009</v>
      </c>
      <c r="CP10" s="190" t="s">
        <v>1009</v>
      </c>
      <c r="CQ10" s="190" t="s">
        <v>1009</v>
      </c>
      <c r="CR10" s="190"/>
      <c r="CS10" s="190" t="s">
        <v>995</v>
      </c>
      <c r="CT10" s="190" t="s">
        <v>999</v>
      </c>
      <c r="CU10" s="190" t="s">
        <v>1001</v>
      </c>
      <c r="CV10" s="190" t="s">
        <v>992</v>
      </c>
      <c r="CW10" s="190"/>
      <c r="CX10" s="190" t="s">
        <v>1006</v>
      </c>
      <c r="CY10" s="190" t="s">
        <v>1009</v>
      </c>
      <c r="CZ10" s="190" t="s">
        <v>1009</v>
      </c>
      <c r="DA10" s="190" t="s">
        <v>995</v>
      </c>
      <c r="DB10" s="190" t="s">
        <v>1002</v>
      </c>
      <c r="DC10" s="190" t="s">
        <v>1002</v>
      </c>
      <c r="DD10" s="190" t="s">
        <v>1007</v>
      </c>
      <c r="DE10" s="190"/>
      <c r="DF10" s="174">
        <v>9</v>
      </c>
      <c r="DH10" s="268" t="s">
        <v>4055</v>
      </c>
      <c r="DI10" s="268" t="s">
        <v>899</v>
      </c>
      <c r="DJ10" s="268">
        <v>2</v>
      </c>
      <c r="DK10" s="268">
        <v>2</v>
      </c>
      <c r="DL10" s="268">
        <v>-3</v>
      </c>
      <c r="DM10" s="268"/>
      <c r="DN10" s="268"/>
      <c r="DO10" s="268">
        <v>2</v>
      </c>
      <c r="DP10" s="268">
        <v>2</v>
      </c>
      <c r="DQ10" s="268">
        <v>2</v>
      </c>
      <c r="DR10" s="268"/>
      <c r="DS10" s="268"/>
      <c r="DT10" s="268"/>
      <c r="DU10" s="268"/>
      <c r="DV10" s="268"/>
      <c r="DW10" s="268">
        <v>5</v>
      </c>
      <c r="DX10" s="268">
        <v>50</v>
      </c>
      <c r="DY10" s="268">
        <v>1</v>
      </c>
      <c r="DZ10" s="268">
        <v>4</v>
      </c>
      <c r="EA10" s="268">
        <v>1.5</v>
      </c>
      <c r="EB10" s="268">
        <v>30</v>
      </c>
      <c r="EC10" s="174">
        <f t="shared" si="6"/>
        <v>7</v>
      </c>
      <c r="ED10" s="268" t="s">
        <v>4183</v>
      </c>
      <c r="EE10" s="174">
        <v>7654</v>
      </c>
      <c r="EF10" s="174">
        <v>7654</v>
      </c>
      <c r="EG10" s="174">
        <v>6543</v>
      </c>
      <c r="EH10" s="174">
        <v>6543</v>
      </c>
      <c r="EI10" s="174">
        <v>6543</v>
      </c>
      <c r="EJ10" s="174">
        <v>6543</v>
      </c>
      <c r="EK10" s="174">
        <v>6543</v>
      </c>
      <c r="EL10" s="174">
        <v>6311</v>
      </c>
      <c r="EN10" s="182" t="s">
        <v>1014</v>
      </c>
      <c r="EO10" s="174">
        <v>2</v>
      </c>
      <c r="EP10" s="174">
        <v>1</v>
      </c>
      <c r="EQ10" s="174">
        <v>1</v>
      </c>
      <c r="ER10" s="174">
        <v>1</v>
      </c>
      <c r="ES10" s="174">
        <v>1</v>
      </c>
      <c r="ET10" s="174">
        <v>1</v>
      </c>
      <c r="EU10" s="174">
        <v>2</v>
      </c>
      <c r="EV10" s="174">
        <v>1</v>
      </c>
      <c r="EW10" s="174">
        <v>1</v>
      </c>
      <c r="EX10" s="174">
        <v>1</v>
      </c>
      <c r="EY10" s="174">
        <v>2</v>
      </c>
      <c r="EZ10" s="174">
        <v>1</v>
      </c>
      <c r="FA10" s="174">
        <v>1</v>
      </c>
      <c r="FB10" s="174">
        <v>2</v>
      </c>
      <c r="FC10" s="174">
        <v>1</v>
      </c>
      <c r="FD10" s="174">
        <v>1</v>
      </c>
      <c r="FE10" s="174">
        <v>1</v>
      </c>
      <c r="FF10" s="174">
        <v>1</v>
      </c>
      <c r="FG10" s="174">
        <v>1</v>
      </c>
      <c r="FH10" s="174">
        <v>1</v>
      </c>
      <c r="FI10" s="174">
        <v>1</v>
      </c>
      <c r="FJ10" s="174">
        <v>1</v>
      </c>
      <c r="FK10" s="174">
        <v>1</v>
      </c>
      <c r="FL10" s="174">
        <v>1</v>
      </c>
      <c r="FM10" s="174">
        <v>1</v>
      </c>
      <c r="FN10" s="174">
        <v>1</v>
      </c>
      <c r="FO10" s="174">
        <v>1</v>
      </c>
      <c r="FP10" s="174">
        <v>1</v>
      </c>
      <c r="FQ10" s="174">
        <v>1</v>
      </c>
      <c r="FR10" s="174">
        <v>1</v>
      </c>
      <c r="FS10" s="174">
        <v>1</v>
      </c>
      <c r="FT10" s="174">
        <v>1</v>
      </c>
      <c r="FU10" s="174">
        <v>1</v>
      </c>
      <c r="FV10" s="174">
        <v>1</v>
      </c>
      <c r="FW10" s="174">
        <v>1</v>
      </c>
      <c r="FX10" s="174">
        <v>1</v>
      </c>
      <c r="FY10" s="174">
        <v>1</v>
      </c>
      <c r="FZ10" s="174">
        <v>1</v>
      </c>
      <c r="HA10" s="174">
        <v>9</v>
      </c>
      <c r="HB10" s="197">
        <v>7</v>
      </c>
      <c r="HC10" s="183">
        <v>14</v>
      </c>
      <c r="HD10" s="183">
        <v>21</v>
      </c>
      <c r="HE10" s="183">
        <v>7</v>
      </c>
      <c r="HF10" s="183">
        <v>35</v>
      </c>
      <c r="HG10" s="193">
        <f t="shared" si="3"/>
        <v>35</v>
      </c>
      <c r="HH10" s="192" t="e">
        <f t="shared" si="7"/>
        <v>#REF!</v>
      </c>
      <c r="HI10" s="198">
        <v>7</v>
      </c>
      <c r="HJ10" s="185">
        <v>35</v>
      </c>
      <c r="HK10" s="174">
        <v>8</v>
      </c>
      <c r="HL10" s="174">
        <f t="shared" si="8"/>
        <v>64</v>
      </c>
      <c r="HM10" s="174">
        <f t="shared" si="9"/>
        <v>56</v>
      </c>
      <c r="HN10" s="174">
        <f t="shared" si="10"/>
        <v>56</v>
      </c>
      <c r="HO10" s="174">
        <f t="shared" si="11"/>
        <v>56</v>
      </c>
      <c r="HP10" s="174">
        <f t="shared" si="12"/>
        <v>56</v>
      </c>
      <c r="HQ10" s="174">
        <f t="shared" si="13"/>
        <v>56</v>
      </c>
      <c r="HR10" s="174">
        <f t="shared" si="14"/>
        <v>56</v>
      </c>
      <c r="HS10" s="174">
        <f t="shared" si="15"/>
        <v>56</v>
      </c>
      <c r="HT10" s="174">
        <f t="shared" si="16"/>
        <v>56</v>
      </c>
      <c r="HU10" s="174">
        <f t="shared" si="17"/>
        <v>48</v>
      </c>
      <c r="HV10" s="174">
        <f t="shared" si="18"/>
        <v>48</v>
      </c>
      <c r="HW10" s="174">
        <f t="shared" si="19"/>
        <v>48</v>
      </c>
      <c r="HX10" s="174">
        <f t="shared" si="20"/>
        <v>48</v>
      </c>
      <c r="HY10" s="174">
        <f t="shared" si="21"/>
        <v>48</v>
      </c>
      <c r="HZ10" s="174">
        <f t="shared" si="22"/>
        <v>48</v>
      </c>
      <c r="IA10" s="174">
        <f t="shared" si="23"/>
        <v>48</v>
      </c>
      <c r="IB10" s="174">
        <f t="shared" si="24"/>
        <v>40</v>
      </c>
      <c r="IC10" s="174">
        <f t="shared" si="25"/>
        <v>40</v>
      </c>
      <c r="ID10" s="174">
        <f t="shared" si="26"/>
        <v>40</v>
      </c>
      <c r="IE10" s="174">
        <f t="shared" si="27"/>
        <v>32</v>
      </c>
      <c r="IF10" s="174">
        <f t="shared" si="28"/>
        <v>32</v>
      </c>
      <c r="IG10" s="174">
        <f t="shared" si="29"/>
        <v>24</v>
      </c>
      <c r="IH10" s="174">
        <f t="shared" si="30"/>
        <v>24</v>
      </c>
      <c r="II10" s="174">
        <f t="shared" si="31"/>
        <v>16</v>
      </c>
      <c r="IJ10" s="174">
        <v>10</v>
      </c>
      <c r="IN10" s="174">
        <f>Skills!K322</f>
        <v>-14.50991</v>
      </c>
      <c r="IO10" s="174" t="str">
        <f>Skills!B322</f>
        <v>2-Handed</v>
      </c>
      <c r="IR10" s="174">
        <v>110000</v>
      </c>
      <c r="IS10" s="174">
        <v>8</v>
      </c>
    </row>
    <row r="11" spans="1:253" ht="13.35" customHeight="1" x14ac:dyDescent="0.2">
      <c r="A11" s="183">
        <f t="shared" si="1"/>
        <v>10</v>
      </c>
      <c r="B11" s="184">
        <f t="shared" si="0"/>
        <v>-5</v>
      </c>
      <c r="C11" s="183">
        <f t="shared" si="2"/>
        <v>10</v>
      </c>
      <c r="E11" s="189" t="s">
        <v>477</v>
      </c>
      <c r="F11" s="190" t="s">
        <v>1015</v>
      </c>
      <c r="G11" s="190" t="s">
        <v>991</v>
      </c>
      <c r="H11" s="190" t="s">
        <v>995</v>
      </c>
      <c r="I11" s="190" t="s">
        <v>1015</v>
      </c>
      <c r="J11" s="190" t="s">
        <v>1016</v>
      </c>
      <c r="K11" s="190" t="s">
        <v>1002</v>
      </c>
      <c r="L11" s="190" t="s">
        <v>1005</v>
      </c>
      <c r="M11" s="190" t="s">
        <v>1002</v>
      </c>
      <c r="N11" s="190" t="s">
        <v>1002</v>
      </c>
      <c r="O11" s="190" t="s">
        <v>1004</v>
      </c>
      <c r="P11" s="190" t="s">
        <v>1004</v>
      </c>
      <c r="Q11" s="190" t="s">
        <v>1002</v>
      </c>
      <c r="R11" s="190" t="s">
        <v>1009</v>
      </c>
      <c r="S11" s="190" t="s">
        <v>1002</v>
      </c>
      <c r="T11" s="190" t="s">
        <v>1017</v>
      </c>
      <c r="U11" s="190" t="s">
        <v>1018</v>
      </c>
      <c r="V11" s="190" t="s">
        <v>1019</v>
      </c>
      <c r="W11" s="190" t="s">
        <v>1020</v>
      </c>
      <c r="X11" s="190" t="s">
        <v>1020</v>
      </c>
      <c r="Y11" s="190" t="s">
        <v>1016</v>
      </c>
      <c r="Z11" s="190"/>
      <c r="AA11" s="190" t="s">
        <v>1005</v>
      </c>
      <c r="AB11" s="190" t="s">
        <v>1005</v>
      </c>
      <c r="AC11" s="190" t="s">
        <v>1020</v>
      </c>
      <c r="AD11" s="190" t="s">
        <v>1021</v>
      </c>
      <c r="AE11" s="190"/>
      <c r="AF11" s="190" t="s">
        <v>1005</v>
      </c>
      <c r="AG11" s="190" t="s">
        <v>1004</v>
      </c>
      <c r="AH11" s="190" t="s">
        <v>1020</v>
      </c>
      <c r="AI11" s="190"/>
      <c r="AJ11" s="190" t="s">
        <v>1018</v>
      </c>
      <c r="AK11" s="190" t="s">
        <v>1006</v>
      </c>
      <c r="AL11" s="190" t="s">
        <v>1001</v>
      </c>
      <c r="AM11" s="190" t="s">
        <v>1009</v>
      </c>
      <c r="AN11" s="190"/>
      <c r="AO11" s="190" t="s">
        <v>1002</v>
      </c>
      <c r="AP11" s="190" t="s">
        <v>1005</v>
      </c>
      <c r="AQ11" s="190" t="s">
        <v>1016</v>
      </c>
      <c r="AR11" s="190"/>
      <c r="AS11" s="190" t="s">
        <v>1002</v>
      </c>
      <c r="AT11" s="190" t="s">
        <v>1002</v>
      </c>
      <c r="AU11" s="190" t="s">
        <v>1002</v>
      </c>
      <c r="AV11" s="190" t="s">
        <v>1002</v>
      </c>
      <c r="AW11" s="190" t="s">
        <v>1002</v>
      </c>
      <c r="AX11" s="190" t="s">
        <v>1002</v>
      </c>
      <c r="AY11" s="190" t="s">
        <v>1002</v>
      </c>
      <c r="AZ11" s="190" t="s">
        <v>1002</v>
      </c>
      <c r="BA11" s="190" t="s">
        <v>1002</v>
      </c>
      <c r="BB11" s="190" t="s">
        <v>1002</v>
      </c>
      <c r="BC11" s="190" t="s">
        <v>1002</v>
      </c>
      <c r="BD11" s="190" t="s">
        <v>1002</v>
      </c>
      <c r="BE11" s="190" t="s">
        <v>1002</v>
      </c>
      <c r="BF11" s="190" t="s">
        <v>1002</v>
      </c>
      <c r="BG11" s="190" t="s">
        <v>1002</v>
      </c>
      <c r="BH11" s="190" t="s">
        <v>1002</v>
      </c>
      <c r="BI11" s="190" t="s">
        <v>1002</v>
      </c>
      <c r="BJ11" s="190" t="s">
        <v>1002</v>
      </c>
      <c r="BK11" s="190" t="s">
        <v>1002</v>
      </c>
      <c r="BL11" s="190" t="s">
        <v>1002</v>
      </c>
      <c r="BM11" s="190" t="s">
        <v>1002</v>
      </c>
      <c r="BN11" s="190" t="s">
        <v>1002</v>
      </c>
      <c r="BO11" s="190" t="s">
        <v>1002</v>
      </c>
      <c r="BP11" s="190" t="s">
        <v>1002</v>
      </c>
      <c r="BQ11" s="190" t="s">
        <v>1002</v>
      </c>
      <c r="BR11" s="190" t="s">
        <v>1002</v>
      </c>
      <c r="BS11" s="190" t="s">
        <v>1002</v>
      </c>
      <c r="BT11" s="190" t="s">
        <v>1002</v>
      </c>
      <c r="BU11" s="190" t="s">
        <v>1002</v>
      </c>
      <c r="BV11" s="190" t="s">
        <v>1002</v>
      </c>
      <c r="BW11" s="190" t="s">
        <v>1002</v>
      </c>
      <c r="BX11" s="190" t="s">
        <v>1002</v>
      </c>
      <c r="BY11" s="190" t="s">
        <v>1002</v>
      </c>
      <c r="BZ11" s="190" t="s">
        <v>1002</v>
      </c>
      <c r="CA11" s="190" t="s">
        <v>1002</v>
      </c>
      <c r="CB11" s="190" t="s">
        <v>1002</v>
      </c>
      <c r="CC11" s="190" t="s">
        <v>1002</v>
      </c>
      <c r="CD11" s="190" t="s">
        <v>1002</v>
      </c>
      <c r="CE11" s="190" t="s">
        <v>1002</v>
      </c>
      <c r="CF11" s="190" t="s">
        <v>1002</v>
      </c>
      <c r="CG11" s="190" t="s">
        <v>1002</v>
      </c>
      <c r="CH11" s="190" t="s">
        <v>1002</v>
      </c>
      <c r="CI11" s="190" t="s">
        <v>1002</v>
      </c>
      <c r="CJ11" s="190" t="s">
        <v>1002</v>
      </c>
      <c r="CK11" s="190" t="s">
        <v>1002</v>
      </c>
      <c r="CL11" s="190" t="s">
        <v>1002</v>
      </c>
      <c r="CM11" s="190" t="s">
        <v>1002</v>
      </c>
      <c r="CN11" s="190" t="s">
        <v>1002</v>
      </c>
      <c r="CO11" s="190" t="s">
        <v>1002</v>
      </c>
      <c r="CP11" s="190" t="s">
        <v>1002</v>
      </c>
      <c r="CQ11" s="190" t="s">
        <v>1002</v>
      </c>
      <c r="CR11" s="190"/>
      <c r="CS11" s="190" t="s">
        <v>995</v>
      </c>
      <c r="CT11" s="190" t="s">
        <v>993</v>
      </c>
      <c r="CU11" s="190" t="s">
        <v>1010</v>
      </c>
      <c r="CV11" s="190" t="s">
        <v>1010</v>
      </c>
      <c r="CW11" s="190"/>
      <c r="CX11" s="190" t="s">
        <v>1019</v>
      </c>
      <c r="CY11" s="190" t="s">
        <v>1002</v>
      </c>
      <c r="CZ11" s="190" t="s">
        <v>1002</v>
      </c>
      <c r="DA11" s="190" t="s">
        <v>995</v>
      </c>
      <c r="DB11" s="190" t="s">
        <v>1002</v>
      </c>
      <c r="DC11" s="190" t="s">
        <v>1002</v>
      </c>
      <c r="DD11" s="190" t="s">
        <v>1004</v>
      </c>
      <c r="DE11" s="190"/>
      <c r="DF11" s="174">
        <v>10</v>
      </c>
      <c r="DH11" s="268" t="s">
        <v>4055</v>
      </c>
      <c r="DI11" s="268" t="s">
        <v>4172</v>
      </c>
      <c r="DJ11" s="268">
        <v>2</v>
      </c>
      <c r="DK11" s="268">
        <v>4</v>
      </c>
      <c r="DL11" s="268">
        <v>-5</v>
      </c>
      <c r="DM11" s="268">
        <v>2</v>
      </c>
      <c r="DN11" s="268"/>
      <c r="DO11" s="268"/>
      <c r="DP11" s="268">
        <v>4</v>
      </c>
      <c r="DQ11" s="268">
        <v>4</v>
      </c>
      <c r="DR11" s="268">
        <v>2</v>
      </c>
      <c r="DS11" s="268">
        <v>2</v>
      </c>
      <c r="DT11" s="268"/>
      <c r="DU11" s="268"/>
      <c r="DV11" s="268"/>
      <c r="DW11" s="268">
        <v>10</v>
      </c>
      <c r="DX11" s="268">
        <v>100</v>
      </c>
      <c r="DY11" s="268">
        <v>1</v>
      </c>
      <c r="DZ11" s="268">
        <v>2</v>
      </c>
      <c r="EA11" s="268">
        <v>2</v>
      </c>
      <c r="EB11" s="268">
        <v>10</v>
      </c>
      <c r="EC11" s="174">
        <f t="shared" si="6"/>
        <v>15</v>
      </c>
      <c r="ED11" s="268" t="s">
        <v>4193</v>
      </c>
      <c r="EE11" s="174">
        <v>6543</v>
      </c>
      <c r="EF11" s="174">
        <v>6543</v>
      </c>
      <c r="EG11" s="174">
        <v>6543</v>
      </c>
      <c r="EH11" s="174">
        <v>6543</v>
      </c>
      <c r="EI11" s="174">
        <v>6543</v>
      </c>
      <c r="EJ11" s="174">
        <v>6543</v>
      </c>
      <c r="EK11" s="174">
        <v>6543</v>
      </c>
      <c r="EL11" s="174">
        <v>7531</v>
      </c>
      <c r="EN11" s="174" t="s">
        <v>452</v>
      </c>
      <c r="EP11" s="174">
        <v>1</v>
      </c>
      <c r="EQ11" s="174">
        <v>2</v>
      </c>
      <c r="EU11" s="174">
        <v>10</v>
      </c>
      <c r="EV11" s="174">
        <v>1</v>
      </c>
      <c r="EW11" s="174">
        <v>2</v>
      </c>
      <c r="EX11" s="174">
        <v>2</v>
      </c>
      <c r="EY11" s="174">
        <v>2</v>
      </c>
      <c r="EZ11" s="174">
        <v>3</v>
      </c>
      <c r="FA11" s="174">
        <v>1</v>
      </c>
      <c r="FB11" s="174">
        <v>2</v>
      </c>
      <c r="FC11" s="174">
        <v>1</v>
      </c>
      <c r="FF11" s="174">
        <v>1</v>
      </c>
      <c r="FJ11" s="174">
        <v>1</v>
      </c>
      <c r="FK11" s="174">
        <v>1</v>
      </c>
      <c r="FL11" s="174">
        <v>1</v>
      </c>
      <c r="FO11" s="174">
        <v>5</v>
      </c>
      <c r="FQ11" s="174">
        <v>1</v>
      </c>
      <c r="FS11" s="174">
        <v>1</v>
      </c>
      <c r="FU11" s="174">
        <v>1</v>
      </c>
      <c r="FX11" s="174">
        <v>1</v>
      </c>
      <c r="HA11" s="174">
        <v>10</v>
      </c>
      <c r="HB11" s="197">
        <v>8</v>
      </c>
      <c r="HC11" s="183">
        <v>16</v>
      </c>
      <c r="HD11" s="183">
        <v>24</v>
      </c>
      <c r="HE11" s="183">
        <v>8</v>
      </c>
      <c r="HF11" s="183">
        <v>40</v>
      </c>
      <c r="HG11" s="193">
        <f t="shared" si="3"/>
        <v>40</v>
      </c>
      <c r="HH11" s="192" t="e">
        <f t="shared" si="7"/>
        <v>#REF!</v>
      </c>
      <c r="HI11" s="198">
        <v>8</v>
      </c>
      <c r="HJ11" s="185">
        <v>40</v>
      </c>
      <c r="HK11" s="174">
        <v>9</v>
      </c>
      <c r="HL11" s="174">
        <f t="shared" si="8"/>
        <v>72</v>
      </c>
      <c r="HM11" s="174">
        <f t="shared" si="9"/>
        <v>63</v>
      </c>
      <c r="HN11" s="174">
        <f t="shared" si="10"/>
        <v>63</v>
      </c>
      <c r="HO11" s="174">
        <f t="shared" si="11"/>
        <v>63</v>
      </c>
      <c r="HP11" s="174">
        <f t="shared" si="12"/>
        <v>63</v>
      </c>
      <c r="HQ11" s="174">
        <f t="shared" si="13"/>
        <v>63</v>
      </c>
      <c r="HR11" s="174">
        <f t="shared" si="14"/>
        <v>63</v>
      </c>
      <c r="HS11" s="174">
        <f t="shared" si="15"/>
        <v>63</v>
      </c>
      <c r="HT11" s="174">
        <f t="shared" si="16"/>
        <v>63</v>
      </c>
      <c r="HU11" s="174">
        <f t="shared" si="17"/>
        <v>54</v>
      </c>
      <c r="HV11" s="174">
        <f t="shared" si="18"/>
        <v>54</v>
      </c>
      <c r="HW11" s="174">
        <f t="shared" si="19"/>
        <v>54</v>
      </c>
      <c r="HX11" s="174">
        <f t="shared" si="20"/>
        <v>54</v>
      </c>
      <c r="HY11" s="174">
        <f t="shared" si="21"/>
        <v>54</v>
      </c>
      <c r="HZ11" s="174">
        <f t="shared" si="22"/>
        <v>54</v>
      </c>
      <c r="IA11" s="174">
        <f t="shared" si="23"/>
        <v>54</v>
      </c>
      <c r="IB11" s="174">
        <f t="shared" si="24"/>
        <v>45</v>
      </c>
      <c r="IC11" s="174">
        <f t="shared" si="25"/>
        <v>45</v>
      </c>
      <c r="ID11" s="174">
        <f t="shared" si="26"/>
        <v>45</v>
      </c>
      <c r="IE11" s="174">
        <f t="shared" si="27"/>
        <v>36</v>
      </c>
      <c r="IF11" s="174">
        <f t="shared" si="28"/>
        <v>36</v>
      </c>
      <c r="IG11" s="174">
        <f t="shared" si="29"/>
        <v>27</v>
      </c>
      <c r="IH11" s="174">
        <f t="shared" si="30"/>
        <v>27</v>
      </c>
      <c r="II11" s="174">
        <f t="shared" si="31"/>
        <v>18</v>
      </c>
      <c r="IJ11" s="174">
        <v>11</v>
      </c>
      <c r="IN11" s="174">
        <f>Skills!K324</f>
        <v>3.4901000000000004</v>
      </c>
      <c r="IO11" s="174" t="str">
        <f>Skills!B324</f>
        <v>Missile</v>
      </c>
      <c r="IR11" s="174">
        <v>130000</v>
      </c>
      <c r="IS11" s="174">
        <v>9</v>
      </c>
    </row>
    <row r="12" spans="1:253" ht="13.35" customHeight="1" x14ac:dyDescent="0.2">
      <c r="A12" s="183">
        <f t="shared" si="1"/>
        <v>11</v>
      </c>
      <c r="B12" s="184">
        <f>ROUNDDOWN((A12-33)/5,0)</f>
        <v>-4</v>
      </c>
      <c r="C12" s="183">
        <f t="shared" si="2"/>
        <v>11</v>
      </c>
      <c r="E12" s="189" t="s">
        <v>482</v>
      </c>
      <c r="F12" s="190" t="s">
        <v>991</v>
      </c>
      <c r="G12" s="190" t="s">
        <v>999</v>
      </c>
      <c r="H12" s="190" t="s">
        <v>993</v>
      </c>
      <c r="I12" s="190" t="s">
        <v>991</v>
      </c>
      <c r="J12" s="190" t="s">
        <v>995</v>
      </c>
      <c r="K12" s="190" t="s">
        <v>1009</v>
      </c>
      <c r="L12" s="190" t="s">
        <v>1009</v>
      </c>
      <c r="M12" s="190" t="s">
        <v>995</v>
      </c>
      <c r="N12" s="190" t="s">
        <v>1022</v>
      </c>
      <c r="O12" s="190" t="s">
        <v>1009</v>
      </c>
      <c r="P12" s="190" t="s">
        <v>1009</v>
      </c>
      <c r="Q12" s="190" t="s">
        <v>1009</v>
      </c>
      <c r="R12" s="190" t="s">
        <v>992</v>
      </c>
      <c r="S12" s="190" t="s">
        <v>1009</v>
      </c>
      <c r="T12" s="190" t="s">
        <v>994</v>
      </c>
      <c r="U12" s="190" t="s">
        <v>995</v>
      </c>
      <c r="V12" s="190" t="s">
        <v>995</v>
      </c>
      <c r="W12" s="190" t="s">
        <v>995</v>
      </c>
      <c r="X12" s="190" t="s">
        <v>995</v>
      </c>
      <c r="Y12" s="190" t="s">
        <v>993</v>
      </c>
      <c r="Z12" s="190"/>
      <c r="AA12" s="190" t="s">
        <v>1023</v>
      </c>
      <c r="AB12" s="190" t="s">
        <v>1023</v>
      </c>
      <c r="AC12" s="190" t="s">
        <v>995</v>
      </c>
      <c r="AD12" s="190" t="s">
        <v>995</v>
      </c>
      <c r="AE12" s="190"/>
      <c r="AF12" s="190" t="s">
        <v>1006</v>
      </c>
      <c r="AG12" s="190" t="s">
        <v>1006</v>
      </c>
      <c r="AH12" s="190" t="s">
        <v>995</v>
      </c>
      <c r="AI12" s="190"/>
      <c r="AJ12" s="190" t="s">
        <v>995</v>
      </c>
      <c r="AK12" s="190" t="s">
        <v>1010</v>
      </c>
      <c r="AL12" s="190" t="s">
        <v>994</v>
      </c>
      <c r="AM12" s="190" t="s">
        <v>995</v>
      </c>
      <c r="AN12" s="190"/>
      <c r="AO12" s="190" t="s">
        <v>1009</v>
      </c>
      <c r="AP12" s="190" t="s">
        <v>1009</v>
      </c>
      <c r="AQ12" s="190" t="s">
        <v>994</v>
      </c>
      <c r="AR12" s="190"/>
      <c r="AS12" s="190" t="s">
        <v>1010</v>
      </c>
      <c r="AT12" s="190" t="s">
        <v>1010</v>
      </c>
      <c r="AU12" s="190" t="s">
        <v>1010</v>
      </c>
      <c r="AV12" s="190" t="s">
        <v>1010</v>
      </c>
      <c r="AW12" s="190" t="s">
        <v>1010</v>
      </c>
      <c r="AX12" s="190" t="s">
        <v>1010</v>
      </c>
      <c r="AY12" s="190" t="s">
        <v>1010</v>
      </c>
      <c r="AZ12" s="190" t="s">
        <v>1010</v>
      </c>
      <c r="BA12" s="190" t="s">
        <v>1010</v>
      </c>
      <c r="BB12" s="190" t="s">
        <v>1010</v>
      </c>
      <c r="BC12" s="190" t="s">
        <v>1010</v>
      </c>
      <c r="BD12" s="190" t="s">
        <v>1010</v>
      </c>
      <c r="BE12" s="190" t="s">
        <v>1010</v>
      </c>
      <c r="BF12" s="190" t="s">
        <v>1010</v>
      </c>
      <c r="BG12" s="190" t="s">
        <v>1010</v>
      </c>
      <c r="BH12" s="190" t="s">
        <v>1010</v>
      </c>
      <c r="BI12" s="190" t="s">
        <v>1010</v>
      </c>
      <c r="BJ12" s="190" t="s">
        <v>1010</v>
      </c>
      <c r="BK12" s="190" t="s">
        <v>1010</v>
      </c>
      <c r="BL12" s="190" t="s">
        <v>1010</v>
      </c>
      <c r="BM12" s="190" t="s">
        <v>1010</v>
      </c>
      <c r="BN12" s="190" t="s">
        <v>1010</v>
      </c>
      <c r="BO12" s="190" t="s">
        <v>1010</v>
      </c>
      <c r="BP12" s="190" t="s">
        <v>1010</v>
      </c>
      <c r="BQ12" s="190" t="s">
        <v>1010</v>
      </c>
      <c r="BR12" s="190" t="s">
        <v>1010</v>
      </c>
      <c r="BS12" s="190" t="s">
        <v>1010</v>
      </c>
      <c r="BT12" s="190" t="s">
        <v>1010</v>
      </c>
      <c r="BU12" s="190" t="s">
        <v>1010</v>
      </c>
      <c r="BV12" s="190" t="s">
        <v>1010</v>
      </c>
      <c r="BW12" s="190" t="s">
        <v>1010</v>
      </c>
      <c r="BX12" s="190" t="s">
        <v>1010</v>
      </c>
      <c r="BY12" s="190" t="s">
        <v>1010</v>
      </c>
      <c r="BZ12" s="190" t="s">
        <v>1010</v>
      </c>
      <c r="CA12" s="190" t="s">
        <v>1010</v>
      </c>
      <c r="CB12" s="190" t="s">
        <v>1010</v>
      </c>
      <c r="CC12" s="190" t="s">
        <v>1010</v>
      </c>
      <c r="CD12" s="190" t="s">
        <v>1010</v>
      </c>
      <c r="CE12" s="190" t="s">
        <v>1010</v>
      </c>
      <c r="CF12" s="190" t="s">
        <v>1010</v>
      </c>
      <c r="CG12" s="190" t="s">
        <v>1010</v>
      </c>
      <c r="CH12" s="190" t="s">
        <v>1010</v>
      </c>
      <c r="CI12" s="190" t="s">
        <v>1010</v>
      </c>
      <c r="CJ12" s="190" t="s">
        <v>1010</v>
      </c>
      <c r="CK12" s="190" t="s">
        <v>1010</v>
      </c>
      <c r="CL12" s="190" t="s">
        <v>1010</v>
      </c>
      <c r="CM12" s="190" t="s">
        <v>1010</v>
      </c>
      <c r="CN12" s="190" t="s">
        <v>1010</v>
      </c>
      <c r="CO12" s="190" t="s">
        <v>1010</v>
      </c>
      <c r="CP12" s="190" t="s">
        <v>1010</v>
      </c>
      <c r="CQ12" s="190" t="s">
        <v>1010</v>
      </c>
      <c r="CR12" s="190"/>
      <c r="CS12" s="190" t="s">
        <v>995</v>
      </c>
      <c r="CT12" s="190" t="s">
        <v>993</v>
      </c>
      <c r="CU12" s="190" t="s">
        <v>991</v>
      </c>
      <c r="CV12" s="190" t="s">
        <v>1010</v>
      </c>
      <c r="CW12" s="190"/>
      <c r="CX12" s="190" t="s">
        <v>991</v>
      </c>
      <c r="CY12" s="190" t="s">
        <v>995</v>
      </c>
      <c r="CZ12" s="190" t="s">
        <v>993</v>
      </c>
      <c r="DA12" s="190" t="s">
        <v>995</v>
      </c>
      <c r="DB12" s="190" t="s">
        <v>1009</v>
      </c>
      <c r="DC12" s="190" t="s">
        <v>995</v>
      </c>
      <c r="DD12" s="190" t="s">
        <v>1009</v>
      </c>
      <c r="DE12" s="190"/>
      <c r="DF12" s="174">
        <v>11</v>
      </c>
      <c r="DH12" s="268" t="s">
        <v>4055</v>
      </c>
      <c r="DI12" s="268" t="s">
        <v>4171</v>
      </c>
      <c r="DJ12" s="268">
        <v>2</v>
      </c>
      <c r="DK12" s="268">
        <v>4</v>
      </c>
      <c r="DL12" s="268">
        <v>-3</v>
      </c>
      <c r="DM12" s="268">
        <v>2</v>
      </c>
      <c r="DN12" s="268"/>
      <c r="DO12" s="268"/>
      <c r="DP12" s="268">
        <v>4</v>
      </c>
      <c r="DQ12" s="268">
        <v>4</v>
      </c>
      <c r="DR12" s="268">
        <v>2</v>
      </c>
      <c r="DS12" s="268">
        <v>2</v>
      </c>
      <c r="DT12" s="268"/>
      <c r="DU12" s="268"/>
      <c r="DV12" s="268"/>
      <c r="DW12" s="268">
        <v>10</v>
      </c>
      <c r="DX12" s="268">
        <v>100</v>
      </c>
      <c r="DY12" s="268">
        <v>1</v>
      </c>
      <c r="DZ12" s="268">
        <v>2</v>
      </c>
      <c r="EA12" s="268">
        <v>2</v>
      </c>
      <c r="EB12" s="268">
        <v>5</v>
      </c>
      <c r="EC12" s="174">
        <f t="shared" si="6"/>
        <v>17</v>
      </c>
      <c r="ED12" s="268" t="s">
        <v>977</v>
      </c>
      <c r="EE12" s="174">
        <v>6543</v>
      </c>
      <c r="EF12" s="174">
        <v>7654</v>
      </c>
      <c r="EG12" s="174">
        <v>6543</v>
      </c>
      <c r="EH12" s="174">
        <v>6543</v>
      </c>
      <c r="EI12" s="174">
        <v>6543</v>
      </c>
      <c r="EJ12" s="174">
        <v>6543</v>
      </c>
      <c r="EK12" s="174">
        <v>6543</v>
      </c>
      <c r="EL12" s="174">
        <v>7421</v>
      </c>
      <c r="EN12" s="182" t="s">
        <v>1026</v>
      </c>
      <c r="EO12" s="174">
        <v>1</v>
      </c>
      <c r="EP12" s="174">
        <v>1</v>
      </c>
      <c r="EQ12" s="174">
        <v>1</v>
      </c>
      <c r="ER12" s="174">
        <v>1</v>
      </c>
      <c r="ES12" s="174">
        <v>1</v>
      </c>
      <c r="ET12" s="174">
        <v>1</v>
      </c>
      <c r="EV12" s="174">
        <v>1</v>
      </c>
      <c r="EW12" s="174">
        <v>1</v>
      </c>
      <c r="EX12" s="174">
        <v>1</v>
      </c>
      <c r="EY12" s="174">
        <v>2</v>
      </c>
      <c r="EZ12" s="174">
        <v>1</v>
      </c>
      <c r="FA12" s="174">
        <v>1</v>
      </c>
      <c r="FB12" s="174">
        <v>2</v>
      </c>
      <c r="FC12" s="174">
        <v>1</v>
      </c>
      <c r="FD12" s="174">
        <v>1</v>
      </c>
      <c r="FE12" s="174">
        <v>1</v>
      </c>
      <c r="FF12" s="174">
        <v>1</v>
      </c>
      <c r="FG12" s="174">
        <v>1</v>
      </c>
      <c r="FH12" s="174">
        <v>1</v>
      </c>
      <c r="FI12" s="174">
        <v>1</v>
      </c>
      <c r="FJ12" s="174">
        <v>1</v>
      </c>
      <c r="FK12" s="174">
        <v>1</v>
      </c>
      <c r="FL12" s="174">
        <v>1</v>
      </c>
      <c r="FM12" s="174">
        <v>1</v>
      </c>
      <c r="FN12" s="174">
        <v>1</v>
      </c>
      <c r="FO12" s="174">
        <v>1</v>
      </c>
      <c r="FP12" s="174">
        <v>1</v>
      </c>
      <c r="FQ12" s="174">
        <v>1</v>
      </c>
      <c r="FR12" s="174">
        <v>1</v>
      </c>
      <c r="FS12" s="174">
        <v>1</v>
      </c>
      <c r="FT12" s="174">
        <v>1</v>
      </c>
      <c r="FU12" s="174">
        <v>1</v>
      </c>
      <c r="FV12" s="174">
        <v>1</v>
      </c>
      <c r="FW12" s="174">
        <v>1</v>
      </c>
      <c r="FX12" s="174">
        <v>1</v>
      </c>
      <c r="FY12" s="174">
        <v>1</v>
      </c>
      <c r="FZ12" s="174">
        <v>1</v>
      </c>
      <c r="HA12" s="174">
        <v>11</v>
      </c>
      <c r="HB12" s="197">
        <v>9</v>
      </c>
      <c r="HC12" s="183">
        <v>18</v>
      </c>
      <c r="HD12" s="183">
        <v>27</v>
      </c>
      <c r="HE12" s="183">
        <v>9</v>
      </c>
      <c r="HF12" s="183">
        <v>45</v>
      </c>
      <c r="HG12" s="193">
        <f t="shared" si="3"/>
        <v>45</v>
      </c>
      <c r="HH12" s="192" t="e">
        <f t="shared" si="7"/>
        <v>#REF!</v>
      </c>
      <c r="HI12" s="198">
        <v>9</v>
      </c>
      <c r="HJ12" s="185">
        <v>45</v>
      </c>
      <c r="HK12" s="182">
        <v>10</v>
      </c>
      <c r="HL12" s="269">
        <f>HL11+8</f>
        <v>80</v>
      </c>
      <c r="HM12" s="269">
        <f t="shared" ref="HM12:HT12" si="32">HM11+7</f>
        <v>70</v>
      </c>
      <c r="HN12" s="269">
        <f t="shared" si="32"/>
        <v>70</v>
      </c>
      <c r="HO12" s="269">
        <f t="shared" si="32"/>
        <v>70</v>
      </c>
      <c r="HP12" s="269">
        <f t="shared" si="32"/>
        <v>70</v>
      </c>
      <c r="HQ12" s="269">
        <f t="shared" si="32"/>
        <v>70</v>
      </c>
      <c r="HR12" s="269">
        <f t="shared" si="32"/>
        <v>70</v>
      </c>
      <c r="HS12" s="269">
        <f t="shared" si="32"/>
        <v>70</v>
      </c>
      <c r="HT12" s="269">
        <f t="shared" si="32"/>
        <v>70</v>
      </c>
      <c r="HU12" s="269">
        <f t="shared" ref="HU12:IA12" si="33">HU11+6</f>
        <v>60</v>
      </c>
      <c r="HV12" s="269">
        <f t="shared" si="33"/>
        <v>60</v>
      </c>
      <c r="HW12" s="269">
        <f t="shared" si="33"/>
        <v>60</v>
      </c>
      <c r="HX12" s="269">
        <f t="shared" si="33"/>
        <v>60</v>
      </c>
      <c r="HY12" s="269">
        <f t="shared" si="33"/>
        <v>60</v>
      </c>
      <c r="HZ12" s="269">
        <f t="shared" si="33"/>
        <v>60</v>
      </c>
      <c r="IA12" s="269">
        <f t="shared" si="33"/>
        <v>60</v>
      </c>
      <c r="IB12" s="269">
        <f>IB11+5</f>
        <v>50</v>
      </c>
      <c r="IC12" s="269">
        <f>IC11+5</f>
        <v>50</v>
      </c>
      <c r="ID12" s="269">
        <f>ID11+5</f>
        <v>50</v>
      </c>
      <c r="IE12" s="269">
        <f>IE11+4</f>
        <v>40</v>
      </c>
      <c r="IF12" s="269">
        <f>IF11+4</f>
        <v>40</v>
      </c>
      <c r="IG12" s="269">
        <f>IG11+3</f>
        <v>30</v>
      </c>
      <c r="IH12" s="269">
        <f>IH11+3</f>
        <v>30</v>
      </c>
      <c r="II12" s="269">
        <f>II11+2</f>
        <v>20</v>
      </c>
      <c r="IJ12" s="182">
        <v>12</v>
      </c>
      <c r="IN12" s="174">
        <f>Skills!K325</f>
        <v>3.49011</v>
      </c>
      <c r="IO12" s="174" t="str">
        <f>Skills!B325</f>
        <v>Missile</v>
      </c>
      <c r="IR12" s="174">
        <v>150000</v>
      </c>
      <c r="IS12" s="174">
        <v>10</v>
      </c>
    </row>
    <row r="13" spans="1:253" ht="13.35" customHeight="1" x14ac:dyDescent="0.2">
      <c r="A13" s="183">
        <f t="shared" si="1"/>
        <v>12</v>
      </c>
      <c r="B13" s="184">
        <f t="shared" ref="B13:B31" si="34">ROUND((A13-33)/5,0)</f>
        <v>-4</v>
      </c>
      <c r="C13" s="183">
        <f t="shared" si="2"/>
        <v>12</v>
      </c>
      <c r="E13" s="189" t="s">
        <v>492</v>
      </c>
      <c r="F13" s="190" t="s">
        <v>995</v>
      </c>
      <c r="G13" s="190" t="s">
        <v>991</v>
      </c>
      <c r="H13" s="190" t="s">
        <v>995</v>
      </c>
      <c r="I13" s="190" t="s">
        <v>991</v>
      </c>
      <c r="J13" s="190" t="s">
        <v>995</v>
      </c>
      <c r="K13" s="190" t="s">
        <v>1006</v>
      </c>
      <c r="L13" s="190" t="s">
        <v>995</v>
      </c>
      <c r="M13" s="190" t="s">
        <v>1006</v>
      </c>
      <c r="N13" s="190" t="s">
        <v>1027</v>
      </c>
      <c r="O13" s="190" t="s">
        <v>1006</v>
      </c>
      <c r="P13" s="190" t="s">
        <v>1006</v>
      </c>
      <c r="Q13" s="190" t="s">
        <v>1006</v>
      </c>
      <c r="R13" s="190" t="s">
        <v>995</v>
      </c>
      <c r="S13" s="190" t="s">
        <v>1006</v>
      </c>
      <c r="T13" s="190" t="s">
        <v>991</v>
      </c>
      <c r="U13" s="190" t="s">
        <v>1006</v>
      </c>
      <c r="V13" s="190" t="s">
        <v>1006</v>
      </c>
      <c r="W13" s="190" t="s">
        <v>1006</v>
      </c>
      <c r="X13" s="190" t="s">
        <v>1006</v>
      </c>
      <c r="Y13" s="190" t="s">
        <v>995</v>
      </c>
      <c r="Z13" s="190"/>
      <c r="AA13" s="190" t="s">
        <v>994</v>
      </c>
      <c r="AB13" s="190" t="s">
        <v>994</v>
      </c>
      <c r="AC13" s="190" t="s">
        <v>995</v>
      </c>
      <c r="AD13" s="190" t="s">
        <v>993</v>
      </c>
      <c r="AE13" s="190"/>
      <c r="AF13" s="190" t="s">
        <v>1006</v>
      </c>
      <c r="AG13" s="190" t="s">
        <v>1006</v>
      </c>
      <c r="AH13" s="190" t="s">
        <v>1006</v>
      </c>
      <c r="AI13" s="190"/>
      <c r="AJ13" s="190" t="s">
        <v>1001</v>
      </c>
      <c r="AK13" s="190" t="s">
        <v>1010</v>
      </c>
      <c r="AL13" s="190" t="s">
        <v>992</v>
      </c>
      <c r="AM13" s="190" t="s">
        <v>991</v>
      </c>
      <c r="AN13" s="190"/>
      <c r="AO13" s="190" t="s">
        <v>1006</v>
      </c>
      <c r="AP13" s="190" t="s">
        <v>1006</v>
      </c>
      <c r="AQ13" s="190" t="s">
        <v>991</v>
      </c>
      <c r="AR13" s="190"/>
      <c r="AS13" s="190" t="s">
        <v>1006</v>
      </c>
      <c r="AT13" s="190" t="s">
        <v>1006</v>
      </c>
      <c r="AU13" s="190" t="s">
        <v>1006</v>
      </c>
      <c r="AV13" s="190" t="s">
        <v>1006</v>
      </c>
      <c r="AW13" s="190" t="s">
        <v>1006</v>
      </c>
      <c r="AX13" s="190" t="s">
        <v>1006</v>
      </c>
      <c r="AY13" s="190" t="s">
        <v>1006</v>
      </c>
      <c r="AZ13" s="190" t="s">
        <v>1006</v>
      </c>
      <c r="BA13" s="190" t="s">
        <v>1006</v>
      </c>
      <c r="BB13" s="190" t="s">
        <v>1006</v>
      </c>
      <c r="BC13" s="190" t="s">
        <v>1006</v>
      </c>
      <c r="BD13" s="190" t="s">
        <v>1006</v>
      </c>
      <c r="BE13" s="190" t="s">
        <v>1006</v>
      </c>
      <c r="BF13" s="190" t="s">
        <v>1006</v>
      </c>
      <c r="BG13" s="190" t="s">
        <v>1006</v>
      </c>
      <c r="BH13" s="190" t="s">
        <v>1006</v>
      </c>
      <c r="BI13" s="190" t="s">
        <v>1006</v>
      </c>
      <c r="BJ13" s="190" t="s">
        <v>1006</v>
      </c>
      <c r="BK13" s="190" t="s">
        <v>1006</v>
      </c>
      <c r="BL13" s="190" t="s">
        <v>1006</v>
      </c>
      <c r="BM13" s="190" t="s">
        <v>1006</v>
      </c>
      <c r="BN13" s="190" t="s">
        <v>1006</v>
      </c>
      <c r="BO13" s="190" t="s">
        <v>1006</v>
      </c>
      <c r="BP13" s="190" t="s">
        <v>1006</v>
      </c>
      <c r="BQ13" s="190" t="s">
        <v>1006</v>
      </c>
      <c r="BR13" s="190" t="s">
        <v>1006</v>
      </c>
      <c r="BS13" s="190" t="s">
        <v>1006</v>
      </c>
      <c r="BT13" s="190" t="s">
        <v>1006</v>
      </c>
      <c r="BU13" s="190" t="s">
        <v>1006</v>
      </c>
      <c r="BV13" s="190" t="s">
        <v>1006</v>
      </c>
      <c r="BW13" s="190" t="s">
        <v>1006</v>
      </c>
      <c r="BX13" s="190" t="s">
        <v>1006</v>
      </c>
      <c r="BY13" s="190" t="s">
        <v>1006</v>
      </c>
      <c r="BZ13" s="190" t="s">
        <v>1006</v>
      </c>
      <c r="CA13" s="190" t="s">
        <v>1006</v>
      </c>
      <c r="CB13" s="190" t="s">
        <v>1006</v>
      </c>
      <c r="CC13" s="190" t="s">
        <v>1006</v>
      </c>
      <c r="CD13" s="190" t="s">
        <v>1006</v>
      </c>
      <c r="CE13" s="190" t="s">
        <v>1006</v>
      </c>
      <c r="CF13" s="190" t="s">
        <v>1006</v>
      </c>
      <c r="CG13" s="190" t="s">
        <v>1006</v>
      </c>
      <c r="CH13" s="190" t="s">
        <v>1006</v>
      </c>
      <c r="CI13" s="190" t="s">
        <v>1006</v>
      </c>
      <c r="CJ13" s="190" t="s">
        <v>1006</v>
      </c>
      <c r="CK13" s="190" t="s">
        <v>1006</v>
      </c>
      <c r="CL13" s="190" t="s">
        <v>1006</v>
      </c>
      <c r="CM13" s="190" t="s">
        <v>1006</v>
      </c>
      <c r="CN13" s="190" t="s">
        <v>1006</v>
      </c>
      <c r="CO13" s="190" t="s">
        <v>1006</v>
      </c>
      <c r="CP13" s="190" t="s">
        <v>1006</v>
      </c>
      <c r="CQ13" s="190" t="s">
        <v>1006</v>
      </c>
      <c r="CR13" s="190"/>
      <c r="CS13" s="190" t="s">
        <v>993</v>
      </c>
      <c r="CT13" s="190" t="s">
        <v>993</v>
      </c>
      <c r="CU13" s="190" t="s">
        <v>991</v>
      </c>
      <c r="CV13" s="190" t="s">
        <v>991</v>
      </c>
      <c r="CW13" s="190"/>
      <c r="CX13" s="190" t="s">
        <v>1001</v>
      </c>
      <c r="CY13" s="190" t="s">
        <v>1006</v>
      </c>
      <c r="CZ13" s="190" t="s">
        <v>1006</v>
      </c>
      <c r="DA13" s="190" t="s">
        <v>993</v>
      </c>
      <c r="DB13" s="190" t="s">
        <v>1006</v>
      </c>
      <c r="DC13" s="190" t="s">
        <v>1006</v>
      </c>
      <c r="DD13" s="190" t="s">
        <v>1006</v>
      </c>
      <c r="DE13" s="190"/>
      <c r="DF13" s="174">
        <v>12</v>
      </c>
      <c r="DH13" s="268" t="s">
        <v>4055</v>
      </c>
      <c r="DI13" s="268" t="s">
        <v>4180</v>
      </c>
      <c r="DJ13" s="268"/>
      <c r="DK13" s="268">
        <v>4</v>
      </c>
      <c r="DL13" s="268">
        <v>-5</v>
      </c>
      <c r="DM13" s="268"/>
      <c r="DN13" s="268"/>
      <c r="DO13" s="268"/>
      <c r="DP13" s="268">
        <v>4</v>
      </c>
      <c r="DQ13" s="268"/>
      <c r="DR13" s="268"/>
      <c r="DS13" s="268">
        <v>4</v>
      </c>
      <c r="DT13" s="268"/>
      <c r="DU13" s="268"/>
      <c r="DV13" s="268"/>
      <c r="DW13" s="268">
        <v>10</v>
      </c>
      <c r="DX13" s="268">
        <v>100</v>
      </c>
      <c r="DY13" s="268">
        <v>1</v>
      </c>
      <c r="DZ13" s="268">
        <v>2</v>
      </c>
      <c r="EA13" s="268">
        <v>1.5</v>
      </c>
      <c r="EB13" s="268">
        <v>25</v>
      </c>
      <c r="EC13" s="174">
        <f t="shared" si="6"/>
        <v>7</v>
      </c>
      <c r="ED13" s="268" t="s">
        <v>976</v>
      </c>
      <c r="EE13" s="174">
        <v>7654</v>
      </c>
      <c r="EF13" s="174">
        <v>6543</v>
      </c>
      <c r="EG13" s="174">
        <v>6543</v>
      </c>
      <c r="EH13" s="174">
        <v>6543</v>
      </c>
      <c r="EI13" s="174">
        <v>6543</v>
      </c>
      <c r="EJ13" s="174">
        <v>6543</v>
      </c>
      <c r="EK13" s="174">
        <v>6543</v>
      </c>
      <c r="EL13" s="174">
        <v>6321</v>
      </c>
      <c r="EN13" s="174" t="s">
        <v>458</v>
      </c>
      <c r="EO13" s="174">
        <v>1</v>
      </c>
      <c r="EP13" s="174">
        <v>1</v>
      </c>
      <c r="EQ13" s="174">
        <v>1</v>
      </c>
      <c r="ER13" s="174">
        <v>1</v>
      </c>
      <c r="ES13" s="174">
        <v>1</v>
      </c>
      <c r="ET13" s="174">
        <v>1</v>
      </c>
      <c r="EV13" s="174">
        <v>1</v>
      </c>
      <c r="EW13" s="174">
        <v>1</v>
      </c>
      <c r="EY13" s="174">
        <v>2</v>
      </c>
      <c r="EZ13" s="174">
        <v>2</v>
      </c>
      <c r="FA13" s="174">
        <v>1</v>
      </c>
      <c r="FB13" s="174">
        <v>2</v>
      </c>
      <c r="FC13" s="174">
        <v>1</v>
      </c>
      <c r="FD13" s="174">
        <v>1</v>
      </c>
      <c r="FE13" s="174">
        <v>2</v>
      </c>
      <c r="FF13" s="174">
        <v>1</v>
      </c>
      <c r="FJ13" s="174">
        <v>1</v>
      </c>
      <c r="FK13" s="174">
        <v>1</v>
      </c>
      <c r="FL13" s="174">
        <v>1</v>
      </c>
      <c r="FO13" s="174">
        <v>1</v>
      </c>
      <c r="FQ13" s="174">
        <v>1</v>
      </c>
      <c r="FS13" s="174">
        <v>1</v>
      </c>
      <c r="FU13" s="174">
        <v>1</v>
      </c>
      <c r="FV13" s="174">
        <v>3</v>
      </c>
      <c r="FY13" s="174">
        <v>1</v>
      </c>
      <c r="FZ13" s="174">
        <v>1</v>
      </c>
      <c r="HA13" s="174">
        <v>12</v>
      </c>
      <c r="HB13" s="197">
        <v>10</v>
      </c>
      <c r="HC13" s="183">
        <v>20</v>
      </c>
      <c r="HD13" s="183">
        <v>30</v>
      </c>
      <c r="HE13" s="183">
        <v>10</v>
      </c>
      <c r="HF13" s="183">
        <v>50</v>
      </c>
      <c r="HG13" s="193">
        <f t="shared" si="3"/>
        <v>50</v>
      </c>
      <c r="HH13" s="192" t="e">
        <f t="shared" si="7"/>
        <v>#REF!</v>
      </c>
      <c r="HI13" s="198">
        <v>10</v>
      </c>
      <c r="HJ13" s="185">
        <v>50</v>
      </c>
      <c r="HK13" s="174">
        <v>11</v>
      </c>
      <c r="HL13" s="174">
        <f>HL12+6</f>
        <v>86</v>
      </c>
      <c r="HM13" s="174">
        <f>HM12+6</f>
        <v>76</v>
      </c>
      <c r="HN13" s="174">
        <f>HN12+5</f>
        <v>75</v>
      </c>
      <c r="HO13" s="174">
        <f>HO12+5</f>
        <v>75</v>
      </c>
      <c r="HP13" s="174">
        <f>HP12+5</f>
        <v>75</v>
      </c>
      <c r="HQ13" s="174">
        <f>HQ12+5</f>
        <v>75</v>
      </c>
      <c r="HR13" s="174">
        <f>HR12+4</f>
        <v>74</v>
      </c>
      <c r="HS13" s="174">
        <f>HS12+4</f>
        <v>74</v>
      </c>
      <c r="HT13" s="174">
        <f>HT12+3</f>
        <v>73</v>
      </c>
      <c r="HU13" s="174">
        <f>HU12+5</f>
        <v>65</v>
      </c>
      <c r="HV13" s="174">
        <f>HV12+5</f>
        <v>65</v>
      </c>
      <c r="HW13" s="174">
        <f>HW12+5</f>
        <v>65</v>
      </c>
      <c r="HX13" s="174">
        <f>HX12+4</f>
        <v>64</v>
      </c>
      <c r="HY13" s="174">
        <f>HY12+4</f>
        <v>64</v>
      </c>
      <c r="HZ13" s="174">
        <f>HZ12+3</f>
        <v>63</v>
      </c>
      <c r="IA13" s="174">
        <f>IA12+3</f>
        <v>63</v>
      </c>
      <c r="IB13" s="174">
        <f>IB12+4</f>
        <v>54</v>
      </c>
      <c r="IC13" s="174">
        <f>IC12+3</f>
        <v>53</v>
      </c>
      <c r="ID13" s="174">
        <f>ID12+3</f>
        <v>53</v>
      </c>
      <c r="IE13" s="174">
        <f>IE12+3</f>
        <v>43</v>
      </c>
      <c r="IF13" s="174">
        <f>IF12+3</f>
        <v>43</v>
      </c>
      <c r="IG13" s="174">
        <f>IG12+2</f>
        <v>32</v>
      </c>
      <c r="IH13" s="174">
        <f>IH12+2</f>
        <v>32</v>
      </c>
      <c r="II13" s="174">
        <f>II12+1</f>
        <v>21</v>
      </c>
      <c r="IJ13" s="174">
        <v>13</v>
      </c>
      <c r="IN13" s="174">
        <f>Skills!K326</f>
        <v>3.4901200000000001</v>
      </c>
      <c r="IO13" s="174" t="str">
        <f>Skills!B326</f>
        <v>Missile</v>
      </c>
      <c r="IR13" s="174">
        <v>180000</v>
      </c>
      <c r="IS13" s="174">
        <v>11</v>
      </c>
    </row>
    <row r="14" spans="1:253" ht="13.35" customHeight="1" x14ac:dyDescent="0.2">
      <c r="A14" s="183">
        <f t="shared" si="1"/>
        <v>13</v>
      </c>
      <c r="B14" s="184">
        <f t="shared" si="34"/>
        <v>-4</v>
      </c>
      <c r="C14" s="183">
        <f t="shared" si="2"/>
        <v>13</v>
      </c>
      <c r="E14" s="189" t="s">
        <v>506</v>
      </c>
      <c r="F14" s="190" t="s">
        <v>991</v>
      </c>
      <c r="G14" s="190" t="s">
        <v>1028</v>
      </c>
      <c r="H14" s="190" t="s">
        <v>1007</v>
      </c>
      <c r="I14" s="190" t="s">
        <v>1029</v>
      </c>
      <c r="J14" s="190" t="s">
        <v>1020</v>
      </c>
      <c r="K14" s="190" t="s">
        <v>1030</v>
      </c>
      <c r="L14" s="190" t="s">
        <v>1030</v>
      </c>
      <c r="M14" s="190" t="s">
        <v>930</v>
      </c>
      <c r="N14" s="190" t="s">
        <v>988</v>
      </c>
      <c r="O14" s="190" t="s">
        <v>1031</v>
      </c>
      <c r="P14" s="190" t="s">
        <v>1031</v>
      </c>
      <c r="Q14" s="190" t="s">
        <v>995</v>
      </c>
      <c r="R14" s="190" t="s">
        <v>1030</v>
      </c>
      <c r="S14" s="190" t="s">
        <v>1030</v>
      </c>
      <c r="T14" s="190" t="s">
        <v>1020</v>
      </c>
      <c r="U14" s="190" t="s">
        <v>1029</v>
      </c>
      <c r="V14" s="190" t="s">
        <v>1032</v>
      </c>
      <c r="W14" s="190" t="s">
        <v>1032</v>
      </c>
      <c r="X14" s="190" t="s">
        <v>1032</v>
      </c>
      <c r="Y14" s="190" t="s">
        <v>1032</v>
      </c>
      <c r="Z14" s="190"/>
      <c r="AA14" s="190" t="s">
        <v>1033</v>
      </c>
      <c r="AB14" s="190" t="s">
        <v>1033</v>
      </c>
      <c r="AC14" s="190" t="s">
        <v>1029</v>
      </c>
      <c r="AD14" s="190" t="s">
        <v>1032</v>
      </c>
      <c r="AE14" s="190"/>
      <c r="AF14" s="190" t="s">
        <v>1030</v>
      </c>
      <c r="AG14" s="190" t="s">
        <v>1030</v>
      </c>
      <c r="AH14" s="190" t="s">
        <v>1032</v>
      </c>
      <c r="AI14" s="190"/>
      <c r="AJ14" s="190" t="s">
        <v>1029</v>
      </c>
      <c r="AK14" s="190" t="s">
        <v>1030</v>
      </c>
      <c r="AL14" s="190" t="s">
        <v>1031</v>
      </c>
      <c r="AM14" s="190" t="s">
        <v>1030</v>
      </c>
      <c r="AN14" s="190"/>
      <c r="AO14" s="190" t="s">
        <v>1030</v>
      </c>
      <c r="AP14" s="190" t="s">
        <v>1030</v>
      </c>
      <c r="AQ14" s="190" t="s">
        <v>1020</v>
      </c>
      <c r="AR14" s="190"/>
      <c r="AS14" s="190" t="s">
        <v>1031</v>
      </c>
      <c r="AT14" s="190" t="s">
        <v>1031</v>
      </c>
      <c r="AU14" s="190" t="s">
        <v>1031</v>
      </c>
      <c r="AV14" s="190" t="s">
        <v>1031</v>
      </c>
      <c r="AW14" s="190" t="s">
        <v>1031</v>
      </c>
      <c r="AX14" s="190" t="s">
        <v>1031</v>
      </c>
      <c r="AY14" s="190" t="s">
        <v>1031</v>
      </c>
      <c r="AZ14" s="190" t="s">
        <v>1031</v>
      </c>
      <c r="BA14" s="190" t="s">
        <v>1031</v>
      </c>
      <c r="BB14" s="190" t="s">
        <v>1031</v>
      </c>
      <c r="BC14" s="190" t="s">
        <v>1031</v>
      </c>
      <c r="BD14" s="190" t="s">
        <v>1031</v>
      </c>
      <c r="BE14" s="190" t="s">
        <v>1031</v>
      </c>
      <c r="BF14" s="190" t="s">
        <v>1031</v>
      </c>
      <c r="BG14" s="190" t="s">
        <v>1031</v>
      </c>
      <c r="BH14" s="190" t="s">
        <v>1031</v>
      </c>
      <c r="BI14" s="190" t="s">
        <v>1031</v>
      </c>
      <c r="BJ14" s="190" t="s">
        <v>1031</v>
      </c>
      <c r="BK14" s="190" t="s">
        <v>1031</v>
      </c>
      <c r="BL14" s="190" t="s">
        <v>1031</v>
      </c>
      <c r="BM14" s="190" t="s">
        <v>1031</v>
      </c>
      <c r="BN14" s="190" t="s">
        <v>1031</v>
      </c>
      <c r="BO14" s="190" t="s">
        <v>1031</v>
      </c>
      <c r="BP14" s="190" t="s">
        <v>1031</v>
      </c>
      <c r="BQ14" s="190" t="s">
        <v>1031</v>
      </c>
      <c r="BR14" s="190" t="s">
        <v>1031</v>
      </c>
      <c r="BS14" s="190" t="s">
        <v>1031</v>
      </c>
      <c r="BT14" s="190" t="s">
        <v>1031</v>
      </c>
      <c r="BU14" s="190" t="s">
        <v>1031</v>
      </c>
      <c r="BV14" s="190" t="s">
        <v>1031</v>
      </c>
      <c r="BW14" s="190" t="s">
        <v>1031</v>
      </c>
      <c r="BX14" s="190" t="s">
        <v>1031</v>
      </c>
      <c r="BY14" s="190" t="s">
        <v>1031</v>
      </c>
      <c r="BZ14" s="190" t="s">
        <v>1031</v>
      </c>
      <c r="CA14" s="190" t="s">
        <v>1031</v>
      </c>
      <c r="CB14" s="190" t="s">
        <v>1031</v>
      </c>
      <c r="CC14" s="190" t="s">
        <v>1031</v>
      </c>
      <c r="CD14" s="190" t="s">
        <v>1031</v>
      </c>
      <c r="CE14" s="190" t="s">
        <v>1031</v>
      </c>
      <c r="CF14" s="190" t="s">
        <v>1031</v>
      </c>
      <c r="CG14" s="190" t="s">
        <v>1031</v>
      </c>
      <c r="CH14" s="190" t="s">
        <v>1031</v>
      </c>
      <c r="CI14" s="190" t="s">
        <v>1031</v>
      </c>
      <c r="CJ14" s="190" t="s">
        <v>1031</v>
      </c>
      <c r="CK14" s="190" t="s">
        <v>1031</v>
      </c>
      <c r="CL14" s="190" t="s">
        <v>1031</v>
      </c>
      <c r="CM14" s="190" t="s">
        <v>1031</v>
      </c>
      <c r="CN14" s="190" t="s">
        <v>1031</v>
      </c>
      <c r="CO14" s="190" t="s">
        <v>1031</v>
      </c>
      <c r="CP14" s="190" t="s">
        <v>1031</v>
      </c>
      <c r="CQ14" s="190" t="s">
        <v>1031</v>
      </c>
      <c r="CR14" s="190"/>
      <c r="CS14" s="190" t="s">
        <v>992</v>
      </c>
      <c r="CT14" s="190" t="s">
        <v>1029</v>
      </c>
      <c r="CU14" s="190" t="s">
        <v>1028</v>
      </c>
      <c r="CV14" s="190" t="s">
        <v>1029</v>
      </c>
      <c r="CW14" s="190"/>
      <c r="CX14" s="190" t="s">
        <v>1029</v>
      </c>
      <c r="CY14" s="190" t="s">
        <v>930</v>
      </c>
      <c r="CZ14" s="190" t="s">
        <v>988</v>
      </c>
      <c r="DA14" s="190" t="s">
        <v>992</v>
      </c>
      <c r="DB14" s="190" t="s">
        <v>1030</v>
      </c>
      <c r="DC14" s="190" t="s">
        <v>930</v>
      </c>
      <c r="DD14" s="190" t="s">
        <v>1031</v>
      </c>
      <c r="DE14" s="190"/>
      <c r="DF14" s="174">
        <v>13</v>
      </c>
      <c r="DH14" s="268" t="s">
        <v>4055</v>
      </c>
      <c r="DI14" s="268" t="s">
        <v>4173</v>
      </c>
      <c r="DJ14" s="268"/>
      <c r="DK14" s="268">
        <v>4</v>
      </c>
      <c r="DL14" s="268">
        <v>-5</v>
      </c>
      <c r="DM14" s="268">
        <v>2</v>
      </c>
      <c r="DN14" s="268"/>
      <c r="DO14" s="268"/>
      <c r="DP14" s="268">
        <v>2</v>
      </c>
      <c r="DQ14" s="268">
        <v>2</v>
      </c>
      <c r="DR14" s="268">
        <v>2</v>
      </c>
      <c r="DS14" s="268">
        <v>2</v>
      </c>
      <c r="DT14" s="268"/>
      <c r="DU14" s="268"/>
      <c r="DV14" s="268"/>
      <c r="DW14" s="268">
        <v>10</v>
      </c>
      <c r="DX14" s="268">
        <v>100</v>
      </c>
      <c r="DY14" s="268">
        <v>1</v>
      </c>
      <c r="DZ14" s="268">
        <v>2</v>
      </c>
      <c r="EA14" s="268">
        <v>1.5</v>
      </c>
      <c r="EB14" s="268">
        <v>20</v>
      </c>
      <c r="EC14" s="174">
        <f t="shared" si="6"/>
        <v>9</v>
      </c>
      <c r="ED14" s="268" t="s">
        <v>4198</v>
      </c>
      <c r="EE14" s="174">
        <v>5432</v>
      </c>
      <c r="EF14" s="174">
        <v>6543</v>
      </c>
      <c r="EG14" s="174">
        <v>7654</v>
      </c>
      <c r="EH14" s="174">
        <v>6543</v>
      </c>
      <c r="EI14" s="174">
        <v>6543</v>
      </c>
      <c r="EJ14" s="174">
        <v>6543</v>
      </c>
      <c r="EK14" s="174">
        <v>6543</v>
      </c>
      <c r="EL14" s="174">
        <v>7421</v>
      </c>
      <c r="EN14" s="182" t="s">
        <v>1036</v>
      </c>
      <c r="HA14" s="174">
        <v>13</v>
      </c>
      <c r="HB14" s="197">
        <v>11</v>
      </c>
      <c r="HC14" s="183">
        <v>21</v>
      </c>
      <c r="HD14" s="183">
        <v>32</v>
      </c>
      <c r="HE14" s="183">
        <v>11</v>
      </c>
      <c r="HF14" s="183">
        <v>53</v>
      </c>
      <c r="HG14" s="193">
        <f t="shared" si="3"/>
        <v>53</v>
      </c>
      <c r="HH14" s="192" t="e">
        <f t="shared" si="7"/>
        <v>#REF!</v>
      </c>
      <c r="HI14" s="198">
        <v>11</v>
      </c>
      <c r="HJ14" s="185">
        <v>53</v>
      </c>
      <c r="HK14" s="174">
        <v>12</v>
      </c>
      <c r="HL14" s="174">
        <f t="shared" ref="HL14:HL22" si="35">HL13+6</f>
        <v>92</v>
      </c>
      <c r="HM14" s="174">
        <f t="shared" ref="HM14:HM22" si="36">HM13+6</f>
        <v>82</v>
      </c>
      <c r="HN14" s="174">
        <f t="shared" ref="HN14:HN22" si="37">HN13+5</f>
        <v>80</v>
      </c>
      <c r="HO14" s="174">
        <f t="shared" ref="HO14:HO22" si="38">HO13+5</f>
        <v>80</v>
      </c>
      <c r="HP14" s="174">
        <f t="shared" ref="HP14:HP22" si="39">HP13+5</f>
        <v>80</v>
      </c>
      <c r="HQ14" s="174">
        <f t="shared" ref="HQ14:HQ22" si="40">HQ13+5</f>
        <v>80</v>
      </c>
      <c r="HR14" s="174">
        <f t="shared" ref="HR14:HR22" si="41">HR13+4</f>
        <v>78</v>
      </c>
      <c r="HS14" s="174">
        <f t="shared" ref="HS14:HS22" si="42">HS13+4</f>
        <v>78</v>
      </c>
      <c r="HT14" s="174">
        <f t="shared" ref="HT14:HT22" si="43">HT13+3</f>
        <v>76</v>
      </c>
      <c r="HU14" s="174">
        <f t="shared" ref="HU14:HU22" si="44">HU13+5</f>
        <v>70</v>
      </c>
      <c r="HV14" s="174">
        <f t="shared" ref="HV14:HV22" si="45">HV13+5</f>
        <v>70</v>
      </c>
      <c r="HW14" s="174">
        <f t="shared" ref="HW14:HW22" si="46">HW13+5</f>
        <v>70</v>
      </c>
      <c r="HX14" s="174">
        <f t="shared" ref="HX14:HX22" si="47">HX13+4</f>
        <v>68</v>
      </c>
      <c r="HY14" s="174">
        <f t="shared" ref="HY14:HY22" si="48">HY13+4</f>
        <v>68</v>
      </c>
      <c r="HZ14" s="174">
        <f t="shared" ref="HZ14:HZ22" si="49">HZ13+3</f>
        <v>66</v>
      </c>
      <c r="IA14" s="174">
        <f t="shared" ref="IA14:IA22" si="50">IA13+3</f>
        <v>66</v>
      </c>
      <c r="IB14" s="174">
        <f t="shared" ref="IB14:IB22" si="51">IB13+4</f>
        <v>58</v>
      </c>
      <c r="IC14" s="174">
        <f t="shared" ref="IC14:IC22" si="52">IC13+3</f>
        <v>56</v>
      </c>
      <c r="ID14" s="174">
        <f t="shared" ref="ID14:ID22" si="53">ID13+3</f>
        <v>56</v>
      </c>
      <c r="IE14" s="174">
        <f t="shared" ref="IE14:IE22" si="54">IE13+3</f>
        <v>46</v>
      </c>
      <c r="IF14" s="174">
        <f t="shared" ref="IF14:IF22" si="55">IF13+3</f>
        <v>46</v>
      </c>
      <c r="IG14" s="174">
        <f t="shared" ref="IG14:IG22" si="56">IG13+2</f>
        <v>34</v>
      </c>
      <c r="IH14" s="174">
        <f t="shared" ref="IH14:IH22" si="57">IH13+2</f>
        <v>34</v>
      </c>
      <c r="II14" s="174">
        <f t="shared" ref="II14:II22" si="58">II13+1</f>
        <v>22</v>
      </c>
      <c r="IJ14" s="174">
        <v>14</v>
      </c>
      <c r="IN14" s="174">
        <f>Skills!K328</f>
        <v>3.4901300000000002</v>
      </c>
      <c r="IO14" s="174" t="str">
        <f>Skills!B328</f>
        <v>Artillery</v>
      </c>
      <c r="IR14" s="174">
        <v>210000</v>
      </c>
      <c r="IS14" s="174">
        <v>12</v>
      </c>
    </row>
    <row r="15" spans="1:253" ht="13.35" customHeight="1" x14ac:dyDescent="0.2">
      <c r="A15" s="183">
        <f t="shared" si="1"/>
        <v>14</v>
      </c>
      <c r="B15" s="184">
        <f t="shared" si="34"/>
        <v>-4</v>
      </c>
      <c r="C15" s="183">
        <f t="shared" si="2"/>
        <v>14</v>
      </c>
      <c r="E15" s="189" t="s">
        <v>508</v>
      </c>
      <c r="F15" s="190" t="s">
        <v>1007</v>
      </c>
      <c r="G15" s="190" t="s">
        <v>1020</v>
      </c>
      <c r="H15" s="190" t="s">
        <v>1029</v>
      </c>
      <c r="I15" s="190" t="s">
        <v>1008</v>
      </c>
      <c r="J15" s="190" t="s">
        <v>1020</v>
      </c>
      <c r="K15" s="190" t="s">
        <v>1037</v>
      </c>
      <c r="L15" s="190" t="s">
        <v>1037</v>
      </c>
      <c r="M15" s="190" t="s">
        <v>930</v>
      </c>
      <c r="N15" s="190" t="s">
        <v>930</v>
      </c>
      <c r="O15" s="190" t="s">
        <v>1038</v>
      </c>
      <c r="P15" s="190" t="s">
        <v>1038</v>
      </c>
      <c r="Q15" s="190" t="s">
        <v>1037</v>
      </c>
      <c r="R15" s="190" t="s">
        <v>1037</v>
      </c>
      <c r="S15" s="190" t="s">
        <v>1037</v>
      </c>
      <c r="T15" s="190" t="s">
        <v>1028</v>
      </c>
      <c r="U15" s="190" t="s">
        <v>1029</v>
      </c>
      <c r="V15" s="190" t="s">
        <v>1028</v>
      </c>
      <c r="W15" s="190" t="s">
        <v>1032</v>
      </c>
      <c r="X15" s="190" t="s">
        <v>1032</v>
      </c>
      <c r="Y15" s="190" t="s">
        <v>1032</v>
      </c>
      <c r="Z15" s="190"/>
      <c r="AA15" s="190" t="s">
        <v>1037</v>
      </c>
      <c r="AB15" s="190" t="s">
        <v>1037</v>
      </c>
      <c r="AC15" s="190" t="s">
        <v>1028</v>
      </c>
      <c r="AD15" s="190" t="s">
        <v>1020</v>
      </c>
      <c r="AE15" s="190"/>
      <c r="AF15" s="190" t="s">
        <v>1037</v>
      </c>
      <c r="AG15" s="190" t="s">
        <v>1037</v>
      </c>
      <c r="AH15" s="190" t="s">
        <v>1028</v>
      </c>
      <c r="AI15" s="190"/>
      <c r="AJ15" s="190" t="s">
        <v>1029</v>
      </c>
      <c r="AK15" s="190" t="s">
        <v>1037</v>
      </c>
      <c r="AL15" s="190" t="s">
        <v>1038</v>
      </c>
      <c r="AM15" s="190" t="s">
        <v>1037</v>
      </c>
      <c r="AN15" s="190"/>
      <c r="AO15" s="190" t="s">
        <v>1037</v>
      </c>
      <c r="AP15" s="190" t="s">
        <v>1037</v>
      </c>
      <c r="AQ15" s="190" t="s">
        <v>1028</v>
      </c>
      <c r="AR15" s="190"/>
      <c r="AS15" s="190" t="s">
        <v>1031</v>
      </c>
      <c r="AT15" s="190" t="s">
        <v>1031</v>
      </c>
      <c r="AU15" s="190" t="s">
        <v>1031</v>
      </c>
      <c r="AV15" s="190" t="s">
        <v>1031</v>
      </c>
      <c r="AW15" s="190" t="s">
        <v>1031</v>
      </c>
      <c r="AX15" s="190" t="s">
        <v>1031</v>
      </c>
      <c r="AY15" s="190" t="s">
        <v>1031</v>
      </c>
      <c r="AZ15" s="190" t="s">
        <v>1031</v>
      </c>
      <c r="BA15" s="190" t="s">
        <v>1031</v>
      </c>
      <c r="BB15" s="190" t="s">
        <v>1031</v>
      </c>
      <c r="BC15" s="190" t="s">
        <v>1031</v>
      </c>
      <c r="BD15" s="190" t="s">
        <v>1031</v>
      </c>
      <c r="BE15" s="190" t="s">
        <v>1031</v>
      </c>
      <c r="BF15" s="190" t="s">
        <v>1031</v>
      </c>
      <c r="BG15" s="190" t="s">
        <v>1031</v>
      </c>
      <c r="BH15" s="190" t="s">
        <v>1031</v>
      </c>
      <c r="BI15" s="190" t="s">
        <v>1031</v>
      </c>
      <c r="BJ15" s="190" t="s">
        <v>1031</v>
      </c>
      <c r="BK15" s="190" t="s">
        <v>1031</v>
      </c>
      <c r="BL15" s="190" t="s">
        <v>1031</v>
      </c>
      <c r="BM15" s="190" t="s">
        <v>1031</v>
      </c>
      <c r="BN15" s="190" t="s">
        <v>1031</v>
      </c>
      <c r="BO15" s="190" t="s">
        <v>1031</v>
      </c>
      <c r="BP15" s="190" t="s">
        <v>1031</v>
      </c>
      <c r="BQ15" s="190" t="s">
        <v>1031</v>
      </c>
      <c r="BR15" s="190" t="s">
        <v>1031</v>
      </c>
      <c r="BS15" s="190" t="s">
        <v>1031</v>
      </c>
      <c r="BT15" s="190" t="s">
        <v>1031</v>
      </c>
      <c r="BU15" s="190" t="s">
        <v>1031</v>
      </c>
      <c r="BV15" s="190" t="s">
        <v>1031</v>
      </c>
      <c r="BW15" s="190" t="s">
        <v>1031</v>
      </c>
      <c r="BX15" s="190" t="s">
        <v>1031</v>
      </c>
      <c r="BY15" s="190" t="s">
        <v>1031</v>
      </c>
      <c r="BZ15" s="190" t="s">
        <v>1031</v>
      </c>
      <c r="CA15" s="190" t="s">
        <v>1031</v>
      </c>
      <c r="CB15" s="190" t="s">
        <v>1031</v>
      </c>
      <c r="CC15" s="190" t="s">
        <v>1031</v>
      </c>
      <c r="CD15" s="190" t="s">
        <v>1031</v>
      </c>
      <c r="CE15" s="190" t="s">
        <v>1031</v>
      </c>
      <c r="CF15" s="190" t="s">
        <v>1031</v>
      </c>
      <c r="CG15" s="190" t="s">
        <v>1031</v>
      </c>
      <c r="CH15" s="190" t="s">
        <v>1031</v>
      </c>
      <c r="CI15" s="190" t="s">
        <v>1031</v>
      </c>
      <c r="CJ15" s="190" t="s">
        <v>1031</v>
      </c>
      <c r="CK15" s="190" t="s">
        <v>1031</v>
      </c>
      <c r="CL15" s="190" t="s">
        <v>1031</v>
      </c>
      <c r="CM15" s="190" t="s">
        <v>1031</v>
      </c>
      <c r="CN15" s="190" t="s">
        <v>1031</v>
      </c>
      <c r="CO15" s="190" t="s">
        <v>1031</v>
      </c>
      <c r="CP15" s="190" t="s">
        <v>1031</v>
      </c>
      <c r="CQ15" s="190" t="s">
        <v>1031</v>
      </c>
      <c r="CR15" s="190"/>
      <c r="CS15" s="190" t="s">
        <v>1020</v>
      </c>
      <c r="CT15" s="190" t="s">
        <v>1020</v>
      </c>
      <c r="CU15" s="190" t="s">
        <v>1039</v>
      </c>
      <c r="CV15" s="190" t="s">
        <v>1010</v>
      </c>
      <c r="CW15" s="190"/>
      <c r="CX15" s="190" t="s">
        <v>1029</v>
      </c>
      <c r="CY15" s="190" t="s">
        <v>930</v>
      </c>
      <c r="CZ15" s="190" t="s">
        <v>930</v>
      </c>
      <c r="DA15" s="190" t="s">
        <v>1020</v>
      </c>
      <c r="DB15" s="190" t="s">
        <v>1037</v>
      </c>
      <c r="DC15" s="190" t="s">
        <v>930</v>
      </c>
      <c r="DD15" s="190" t="s">
        <v>1038</v>
      </c>
      <c r="DE15" s="190"/>
      <c r="DF15" s="174">
        <v>14</v>
      </c>
      <c r="DH15" s="268" t="s">
        <v>4184</v>
      </c>
      <c r="DI15" s="268" t="s">
        <v>4183</v>
      </c>
      <c r="DJ15" s="268">
        <v>-2</v>
      </c>
      <c r="DK15" s="268">
        <v>2</v>
      </c>
      <c r="DL15" s="268">
        <v>-4</v>
      </c>
      <c r="DM15" s="268">
        <v>4</v>
      </c>
      <c r="DN15" s="268">
        <v>4</v>
      </c>
      <c r="DO15" s="268">
        <v>-4</v>
      </c>
      <c r="DP15" s="268">
        <v>2</v>
      </c>
      <c r="DQ15" s="268">
        <v>-2</v>
      </c>
      <c r="DR15" s="268">
        <v>4</v>
      </c>
      <c r="DS15" s="268">
        <v>2</v>
      </c>
      <c r="DT15" s="268">
        <v>10</v>
      </c>
      <c r="DU15" s="268">
        <v>10</v>
      </c>
      <c r="DV15" s="268">
        <v>10</v>
      </c>
      <c r="DW15" s="268">
        <v>20</v>
      </c>
      <c r="DX15" s="268">
        <v>10</v>
      </c>
      <c r="DY15" s="268">
        <v>1</v>
      </c>
      <c r="DZ15" s="268">
        <v>2</v>
      </c>
      <c r="EA15" s="268">
        <v>0.75</v>
      </c>
      <c r="EB15" s="268">
        <v>40</v>
      </c>
      <c r="EC15" s="174">
        <f t="shared" si="6"/>
        <v>6</v>
      </c>
      <c r="ED15" s="268" t="s">
        <v>4349</v>
      </c>
      <c r="EE15" s="174">
        <v>6543</v>
      </c>
      <c r="EF15" s="174">
        <v>7654</v>
      </c>
      <c r="EG15" s="174">
        <v>6543</v>
      </c>
      <c r="EH15" s="174">
        <v>6543</v>
      </c>
      <c r="EI15" s="174">
        <v>6543</v>
      </c>
      <c r="EJ15" s="174">
        <v>6543</v>
      </c>
      <c r="EK15" s="174">
        <v>6543</v>
      </c>
      <c r="EL15" s="174">
        <v>5311</v>
      </c>
      <c r="EN15" s="174" t="s">
        <v>479</v>
      </c>
      <c r="EO15" s="174">
        <v>2</v>
      </c>
      <c r="EP15" s="174">
        <v>6</v>
      </c>
      <c r="EQ15" s="174">
        <v>6</v>
      </c>
      <c r="ER15" s="174">
        <v>4</v>
      </c>
      <c r="ES15" s="174">
        <v>4</v>
      </c>
      <c r="ET15" s="174">
        <v>4</v>
      </c>
      <c r="EU15" s="174">
        <v>4</v>
      </c>
      <c r="EV15" s="174">
        <v>2</v>
      </c>
      <c r="EW15" s="174">
        <v>6</v>
      </c>
      <c r="EX15" s="174">
        <v>6</v>
      </c>
      <c r="EY15" s="174">
        <v>6</v>
      </c>
      <c r="EZ15" s="174">
        <v>6</v>
      </c>
      <c r="FA15" s="174">
        <v>4</v>
      </c>
      <c r="FB15" s="174">
        <v>4</v>
      </c>
      <c r="FC15" s="174">
        <v>4</v>
      </c>
      <c r="FD15" s="174">
        <v>8</v>
      </c>
      <c r="FE15" s="174">
        <v>8</v>
      </c>
      <c r="FF15" s="174">
        <v>8</v>
      </c>
      <c r="FG15" s="174">
        <v>2</v>
      </c>
      <c r="FH15" s="174">
        <v>2</v>
      </c>
      <c r="FI15" s="174">
        <v>2</v>
      </c>
      <c r="FJ15" s="174">
        <v>3</v>
      </c>
      <c r="FK15" s="174">
        <v>2</v>
      </c>
      <c r="FL15" s="174">
        <v>2</v>
      </c>
      <c r="FM15" s="174">
        <v>2</v>
      </c>
      <c r="FN15" s="174">
        <v>2</v>
      </c>
      <c r="FO15" s="174">
        <v>2</v>
      </c>
      <c r="FP15" s="174">
        <v>2</v>
      </c>
      <c r="FQ15" s="174">
        <v>2</v>
      </c>
      <c r="FR15" s="174">
        <v>2</v>
      </c>
      <c r="FS15" s="174">
        <v>2</v>
      </c>
      <c r="FT15" s="174">
        <v>2</v>
      </c>
      <c r="FU15" s="174">
        <v>2</v>
      </c>
      <c r="FV15" s="174">
        <v>2</v>
      </c>
      <c r="FW15" s="174">
        <v>2</v>
      </c>
      <c r="FX15" s="174">
        <v>2</v>
      </c>
      <c r="FY15" s="174">
        <v>2</v>
      </c>
      <c r="FZ15" s="174">
        <v>2</v>
      </c>
      <c r="HA15" s="174">
        <v>14</v>
      </c>
      <c r="HB15" s="197">
        <v>12</v>
      </c>
      <c r="HC15" s="183">
        <v>22</v>
      </c>
      <c r="HD15" s="183">
        <v>34</v>
      </c>
      <c r="HE15" s="183">
        <v>12</v>
      </c>
      <c r="HF15" s="183">
        <v>56</v>
      </c>
      <c r="HG15" s="193">
        <f t="shared" si="3"/>
        <v>56</v>
      </c>
      <c r="HH15" s="192" t="e">
        <f t="shared" si="7"/>
        <v>#REF!</v>
      </c>
      <c r="HI15" s="198">
        <v>12</v>
      </c>
      <c r="HJ15" s="185">
        <v>56</v>
      </c>
      <c r="HK15" s="174">
        <v>13</v>
      </c>
      <c r="HL15" s="174">
        <f t="shared" si="35"/>
        <v>98</v>
      </c>
      <c r="HM15" s="174">
        <f t="shared" si="36"/>
        <v>88</v>
      </c>
      <c r="HN15" s="174">
        <f t="shared" si="37"/>
        <v>85</v>
      </c>
      <c r="HO15" s="174">
        <f t="shared" si="38"/>
        <v>85</v>
      </c>
      <c r="HP15" s="174">
        <f t="shared" si="39"/>
        <v>85</v>
      </c>
      <c r="HQ15" s="174">
        <f t="shared" si="40"/>
        <v>85</v>
      </c>
      <c r="HR15" s="174">
        <f t="shared" si="41"/>
        <v>82</v>
      </c>
      <c r="HS15" s="174">
        <f t="shared" si="42"/>
        <v>82</v>
      </c>
      <c r="HT15" s="174">
        <f t="shared" si="43"/>
        <v>79</v>
      </c>
      <c r="HU15" s="174">
        <f t="shared" si="44"/>
        <v>75</v>
      </c>
      <c r="HV15" s="174">
        <f t="shared" si="45"/>
        <v>75</v>
      </c>
      <c r="HW15" s="174">
        <f t="shared" si="46"/>
        <v>75</v>
      </c>
      <c r="HX15" s="174">
        <f t="shared" si="47"/>
        <v>72</v>
      </c>
      <c r="HY15" s="174">
        <f t="shared" si="48"/>
        <v>72</v>
      </c>
      <c r="HZ15" s="174">
        <f t="shared" si="49"/>
        <v>69</v>
      </c>
      <c r="IA15" s="174">
        <f t="shared" si="50"/>
        <v>69</v>
      </c>
      <c r="IB15" s="174">
        <f t="shared" si="51"/>
        <v>62</v>
      </c>
      <c r="IC15" s="174">
        <f t="shared" si="52"/>
        <v>59</v>
      </c>
      <c r="ID15" s="174">
        <f t="shared" si="53"/>
        <v>59</v>
      </c>
      <c r="IE15" s="174">
        <f t="shared" si="54"/>
        <v>49</v>
      </c>
      <c r="IF15" s="174">
        <f t="shared" si="55"/>
        <v>49</v>
      </c>
      <c r="IG15" s="174">
        <f t="shared" si="56"/>
        <v>36</v>
      </c>
      <c r="IH15" s="174">
        <f t="shared" si="57"/>
        <v>36</v>
      </c>
      <c r="II15" s="174">
        <f t="shared" si="58"/>
        <v>23</v>
      </c>
      <c r="IJ15" s="174">
        <v>15</v>
      </c>
      <c r="IN15" s="174">
        <f>Skills!K330</f>
        <v>-14.50986</v>
      </c>
      <c r="IO15" s="174" t="str">
        <f>Skills!B330</f>
        <v>Pole Arm</v>
      </c>
      <c r="IR15" s="174">
        <v>240000</v>
      </c>
      <c r="IS15" s="174">
        <v>13</v>
      </c>
    </row>
    <row r="16" spans="1:253" ht="13.35" customHeight="1" x14ac:dyDescent="0.2">
      <c r="A16" s="183">
        <f t="shared" si="1"/>
        <v>15</v>
      </c>
      <c r="B16" s="184">
        <f t="shared" si="34"/>
        <v>-4</v>
      </c>
      <c r="C16" s="183">
        <f t="shared" si="2"/>
        <v>15</v>
      </c>
      <c r="E16" s="189" t="s">
        <v>517</v>
      </c>
      <c r="F16" s="190" t="s">
        <v>929</v>
      </c>
      <c r="G16" s="190" t="s">
        <v>929</v>
      </c>
      <c r="H16" s="190" t="s">
        <v>929</v>
      </c>
      <c r="I16" s="190" t="s">
        <v>929</v>
      </c>
      <c r="J16" s="190" t="s">
        <v>927</v>
      </c>
      <c r="K16" s="190" t="s">
        <v>927</v>
      </c>
      <c r="L16" s="190" t="s">
        <v>986</v>
      </c>
      <c r="M16" s="190" t="s">
        <v>927</v>
      </c>
      <c r="N16" s="190" t="s">
        <v>1040</v>
      </c>
      <c r="O16" s="190" t="s">
        <v>927</v>
      </c>
      <c r="P16" s="190" t="s">
        <v>927</v>
      </c>
      <c r="Q16" s="190" t="s">
        <v>927</v>
      </c>
      <c r="R16" s="190" t="s">
        <v>986</v>
      </c>
      <c r="S16" s="190" t="s">
        <v>927</v>
      </c>
      <c r="T16" s="190" t="s">
        <v>929</v>
      </c>
      <c r="U16" s="190" t="s">
        <v>929</v>
      </c>
      <c r="V16" s="190" t="s">
        <v>929</v>
      </c>
      <c r="W16" s="190" t="s">
        <v>927</v>
      </c>
      <c r="X16" s="190" t="s">
        <v>986</v>
      </c>
      <c r="Y16" s="190" t="s">
        <v>986</v>
      </c>
      <c r="Z16" s="190"/>
      <c r="AA16" s="190" t="s">
        <v>927</v>
      </c>
      <c r="AB16" s="190" t="s">
        <v>927</v>
      </c>
      <c r="AC16" s="190" t="s">
        <v>929</v>
      </c>
      <c r="AD16" s="190" t="s">
        <v>929</v>
      </c>
      <c r="AE16" s="190"/>
      <c r="AF16" s="190" t="s">
        <v>986</v>
      </c>
      <c r="AG16" s="190" t="s">
        <v>927</v>
      </c>
      <c r="AH16" s="190" t="s">
        <v>929</v>
      </c>
      <c r="AI16" s="190"/>
      <c r="AJ16" s="190" t="s">
        <v>929</v>
      </c>
      <c r="AK16" s="190" t="s">
        <v>986</v>
      </c>
      <c r="AL16" s="190" t="s">
        <v>986</v>
      </c>
      <c r="AM16" s="190" t="s">
        <v>986</v>
      </c>
      <c r="AN16" s="190"/>
      <c r="AO16" s="190" t="s">
        <v>927</v>
      </c>
      <c r="AP16" s="190" t="s">
        <v>927</v>
      </c>
      <c r="AQ16" s="190" t="s">
        <v>929</v>
      </c>
      <c r="AR16" s="190"/>
      <c r="AS16" s="190" t="s">
        <v>927</v>
      </c>
      <c r="AT16" s="190" t="s">
        <v>927</v>
      </c>
      <c r="AU16" s="190" t="s">
        <v>927</v>
      </c>
      <c r="AV16" s="190" t="s">
        <v>927</v>
      </c>
      <c r="AW16" s="190" t="s">
        <v>927</v>
      </c>
      <c r="AX16" s="190" t="s">
        <v>927</v>
      </c>
      <c r="AY16" s="190" t="s">
        <v>927</v>
      </c>
      <c r="AZ16" s="190" t="s">
        <v>927</v>
      </c>
      <c r="BA16" s="190" t="s">
        <v>927</v>
      </c>
      <c r="BB16" s="190" t="s">
        <v>927</v>
      </c>
      <c r="BC16" s="190" t="s">
        <v>927</v>
      </c>
      <c r="BD16" s="190" t="s">
        <v>927</v>
      </c>
      <c r="BE16" s="190" t="s">
        <v>927</v>
      </c>
      <c r="BF16" s="190" t="s">
        <v>927</v>
      </c>
      <c r="BG16" s="190" t="s">
        <v>927</v>
      </c>
      <c r="BH16" s="190" t="s">
        <v>927</v>
      </c>
      <c r="BI16" s="190" t="s">
        <v>927</v>
      </c>
      <c r="BJ16" s="190" t="s">
        <v>927</v>
      </c>
      <c r="BK16" s="190" t="s">
        <v>927</v>
      </c>
      <c r="BL16" s="190" t="s">
        <v>927</v>
      </c>
      <c r="BM16" s="190" t="s">
        <v>927</v>
      </c>
      <c r="BN16" s="190" t="s">
        <v>927</v>
      </c>
      <c r="BO16" s="190" t="s">
        <v>927</v>
      </c>
      <c r="BP16" s="190" t="s">
        <v>927</v>
      </c>
      <c r="BQ16" s="190" t="s">
        <v>927</v>
      </c>
      <c r="BR16" s="190" t="s">
        <v>927</v>
      </c>
      <c r="BS16" s="190" t="s">
        <v>927</v>
      </c>
      <c r="BT16" s="190" t="s">
        <v>927</v>
      </c>
      <c r="BU16" s="190" t="s">
        <v>927</v>
      </c>
      <c r="BV16" s="190" t="s">
        <v>927</v>
      </c>
      <c r="BW16" s="190" t="s">
        <v>927</v>
      </c>
      <c r="BX16" s="190" t="s">
        <v>927</v>
      </c>
      <c r="BY16" s="190" t="s">
        <v>927</v>
      </c>
      <c r="BZ16" s="190" t="s">
        <v>927</v>
      </c>
      <c r="CA16" s="190" t="s">
        <v>927</v>
      </c>
      <c r="CB16" s="190" t="s">
        <v>927</v>
      </c>
      <c r="CC16" s="190" t="s">
        <v>927</v>
      </c>
      <c r="CD16" s="190" t="s">
        <v>927</v>
      </c>
      <c r="CE16" s="190" t="s">
        <v>927</v>
      </c>
      <c r="CF16" s="190" t="s">
        <v>927</v>
      </c>
      <c r="CG16" s="190" t="s">
        <v>927</v>
      </c>
      <c r="CH16" s="190" t="s">
        <v>927</v>
      </c>
      <c r="CI16" s="190" t="s">
        <v>927</v>
      </c>
      <c r="CJ16" s="190" t="s">
        <v>927</v>
      </c>
      <c r="CK16" s="190" t="s">
        <v>927</v>
      </c>
      <c r="CL16" s="190" t="s">
        <v>927</v>
      </c>
      <c r="CM16" s="190" t="s">
        <v>927</v>
      </c>
      <c r="CN16" s="190" t="s">
        <v>927</v>
      </c>
      <c r="CO16" s="190" t="s">
        <v>927</v>
      </c>
      <c r="CP16" s="190" t="s">
        <v>927</v>
      </c>
      <c r="CQ16" s="190" t="s">
        <v>927</v>
      </c>
      <c r="CR16" s="190"/>
      <c r="CS16" s="190" t="s">
        <v>928</v>
      </c>
      <c r="CT16" s="190" t="s">
        <v>927</v>
      </c>
      <c r="CU16" s="190" t="s">
        <v>986</v>
      </c>
      <c r="CV16" s="190" t="s">
        <v>927</v>
      </c>
      <c r="CW16" s="190"/>
      <c r="CX16" s="190" t="s">
        <v>929</v>
      </c>
      <c r="CY16" s="190" t="s">
        <v>927</v>
      </c>
      <c r="CZ16" s="190" t="s">
        <v>927</v>
      </c>
      <c r="DA16" s="190" t="s">
        <v>928</v>
      </c>
      <c r="DB16" s="190" t="s">
        <v>927</v>
      </c>
      <c r="DC16" s="190" t="s">
        <v>927</v>
      </c>
      <c r="DD16" s="190" t="s">
        <v>927</v>
      </c>
      <c r="DE16" s="190"/>
      <c r="DF16" s="174">
        <v>15</v>
      </c>
      <c r="DH16" s="268" t="s">
        <v>4184</v>
      </c>
      <c r="DI16" s="268" t="s">
        <v>4349</v>
      </c>
      <c r="DJ16" s="268">
        <v>-6</v>
      </c>
      <c r="DK16" s="268">
        <v>8</v>
      </c>
      <c r="DL16" s="268">
        <v>-4</v>
      </c>
      <c r="DM16" s="268">
        <v>4</v>
      </c>
      <c r="DN16" s="268">
        <v>4</v>
      </c>
      <c r="DO16" s="268">
        <v>-10</v>
      </c>
      <c r="DP16" s="268">
        <v>8</v>
      </c>
      <c r="DQ16" s="268">
        <v>-6</v>
      </c>
      <c r="DR16" s="268">
        <v>4</v>
      </c>
      <c r="DS16" s="268">
        <v>4</v>
      </c>
      <c r="DT16" s="268">
        <v>10</v>
      </c>
      <c r="DU16" s="268">
        <v>10</v>
      </c>
      <c r="DV16" s="268">
        <v>10</v>
      </c>
      <c r="DW16" s="268">
        <v>20</v>
      </c>
      <c r="DX16" s="268">
        <v>10</v>
      </c>
      <c r="DY16" s="268">
        <v>1</v>
      </c>
      <c r="DZ16" s="268">
        <v>2</v>
      </c>
      <c r="EA16" s="268">
        <v>0.75</v>
      </c>
      <c r="EB16" s="268">
        <v>40</v>
      </c>
      <c r="EC16" s="174">
        <f t="shared" si="6"/>
        <v>6</v>
      </c>
      <c r="ED16" s="268" t="s">
        <v>4361</v>
      </c>
      <c r="EE16" s="174">
        <v>3211</v>
      </c>
      <c r="EF16" s="174">
        <v>6543</v>
      </c>
      <c r="EG16" s="174">
        <v>3211</v>
      </c>
      <c r="EH16" s="174">
        <v>4322</v>
      </c>
      <c r="EI16" s="174">
        <v>3211</v>
      </c>
      <c r="EJ16" s="174">
        <v>4322</v>
      </c>
      <c r="EK16" s="174">
        <v>2111</v>
      </c>
      <c r="EL16" s="174">
        <v>6321</v>
      </c>
      <c r="EN16" s="182" t="s">
        <v>1041</v>
      </c>
      <c r="EO16" s="174">
        <v>1</v>
      </c>
      <c r="EP16" s="174">
        <v>1</v>
      </c>
      <c r="EQ16" s="174">
        <v>2</v>
      </c>
      <c r="ER16" s="174">
        <v>1</v>
      </c>
      <c r="ES16" s="174">
        <v>1</v>
      </c>
      <c r="ET16" s="174">
        <v>1</v>
      </c>
      <c r="EU16" s="174">
        <v>2</v>
      </c>
      <c r="EV16" s="174">
        <v>2</v>
      </c>
      <c r="EW16" s="174">
        <v>2</v>
      </c>
      <c r="EX16" s="174">
        <v>2</v>
      </c>
      <c r="EY16" s="174">
        <v>2</v>
      </c>
      <c r="EZ16" s="174">
        <v>2</v>
      </c>
      <c r="FA16" s="174">
        <v>2</v>
      </c>
      <c r="FB16" s="174">
        <v>2</v>
      </c>
      <c r="FC16" s="174">
        <v>2</v>
      </c>
      <c r="FD16" s="174">
        <v>2</v>
      </c>
      <c r="FE16" s="174">
        <v>1</v>
      </c>
      <c r="FF16" s="174">
        <v>1</v>
      </c>
      <c r="FG16" s="174">
        <v>1</v>
      </c>
      <c r="FH16" s="174">
        <v>1</v>
      </c>
      <c r="FI16" s="174">
        <v>1</v>
      </c>
      <c r="FJ16" s="174">
        <v>1</v>
      </c>
      <c r="FK16" s="174">
        <v>1</v>
      </c>
      <c r="FL16" s="174">
        <v>1</v>
      </c>
      <c r="FM16" s="174">
        <v>1</v>
      </c>
      <c r="FN16" s="174">
        <v>1</v>
      </c>
      <c r="FO16" s="174">
        <v>1</v>
      </c>
      <c r="FP16" s="174">
        <v>1</v>
      </c>
      <c r="FQ16" s="174">
        <v>1</v>
      </c>
      <c r="FR16" s="174">
        <v>1</v>
      </c>
      <c r="FS16" s="174">
        <v>1</v>
      </c>
      <c r="FT16" s="174">
        <v>1</v>
      </c>
      <c r="FU16" s="174">
        <v>1</v>
      </c>
      <c r="FV16" s="174">
        <v>2</v>
      </c>
      <c r="FW16" s="174">
        <v>1</v>
      </c>
      <c r="FX16" s="174">
        <v>1</v>
      </c>
      <c r="FY16" s="174">
        <v>1</v>
      </c>
      <c r="FZ16" s="174">
        <v>1</v>
      </c>
      <c r="HA16" s="174">
        <v>15</v>
      </c>
      <c r="HB16" s="197">
        <v>13</v>
      </c>
      <c r="HC16" s="183">
        <v>23</v>
      </c>
      <c r="HD16" s="183">
        <v>36</v>
      </c>
      <c r="HE16" s="183">
        <v>13</v>
      </c>
      <c r="HF16" s="183">
        <v>59</v>
      </c>
      <c r="HG16" s="193">
        <f t="shared" si="3"/>
        <v>59</v>
      </c>
      <c r="HH16" s="192" t="e">
        <f t="shared" si="7"/>
        <v>#REF!</v>
      </c>
      <c r="HI16" s="198">
        <v>13</v>
      </c>
      <c r="HJ16" s="185">
        <v>59</v>
      </c>
      <c r="HK16" s="174">
        <v>14</v>
      </c>
      <c r="HL16" s="174">
        <f t="shared" si="35"/>
        <v>104</v>
      </c>
      <c r="HM16" s="174">
        <f t="shared" si="36"/>
        <v>94</v>
      </c>
      <c r="HN16" s="174">
        <f t="shared" si="37"/>
        <v>90</v>
      </c>
      <c r="HO16" s="174">
        <f t="shared" si="38"/>
        <v>90</v>
      </c>
      <c r="HP16" s="174">
        <f t="shared" si="39"/>
        <v>90</v>
      </c>
      <c r="HQ16" s="174">
        <f t="shared" si="40"/>
        <v>90</v>
      </c>
      <c r="HR16" s="174">
        <f t="shared" si="41"/>
        <v>86</v>
      </c>
      <c r="HS16" s="174">
        <f t="shared" si="42"/>
        <v>86</v>
      </c>
      <c r="HT16" s="174">
        <f t="shared" si="43"/>
        <v>82</v>
      </c>
      <c r="HU16" s="174">
        <f t="shared" si="44"/>
        <v>80</v>
      </c>
      <c r="HV16" s="174">
        <f t="shared" si="45"/>
        <v>80</v>
      </c>
      <c r="HW16" s="174">
        <f t="shared" si="46"/>
        <v>80</v>
      </c>
      <c r="HX16" s="174">
        <f t="shared" si="47"/>
        <v>76</v>
      </c>
      <c r="HY16" s="174">
        <f t="shared" si="48"/>
        <v>76</v>
      </c>
      <c r="HZ16" s="174">
        <f t="shared" si="49"/>
        <v>72</v>
      </c>
      <c r="IA16" s="174">
        <f t="shared" si="50"/>
        <v>72</v>
      </c>
      <c r="IB16" s="174">
        <f t="shared" si="51"/>
        <v>66</v>
      </c>
      <c r="IC16" s="174">
        <f t="shared" si="52"/>
        <v>62</v>
      </c>
      <c r="ID16" s="174">
        <f t="shared" si="53"/>
        <v>62</v>
      </c>
      <c r="IE16" s="174">
        <f t="shared" si="54"/>
        <v>52</v>
      </c>
      <c r="IF16" s="174">
        <f t="shared" si="55"/>
        <v>52</v>
      </c>
      <c r="IG16" s="174">
        <f t="shared" si="56"/>
        <v>38</v>
      </c>
      <c r="IH16" s="174">
        <f t="shared" si="57"/>
        <v>38</v>
      </c>
      <c r="II16" s="174">
        <f t="shared" si="58"/>
        <v>24</v>
      </c>
      <c r="IJ16" s="174">
        <v>16</v>
      </c>
      <c r="IN16" s="174">
        <f>Skills!K331</f>
        <v>-14.50985</v>
      </c>
      <c r="IO16" s="174" t="str">
        <f>Skills!B331</f>
        <v>Pole Arm</v>
      </c>
      <c r="IR16" s="174">
        <v>270000</v>
      </c>
      <c r="IS16" s="174">
        <v>14</v>
      </c>
    </row>
    <row r="17" spans="1:253" ht="13.35" customHeight="1" x14ac:dyDescent="0.2">
      <c r="A17" s="183">
        <f t="shared" si="1"/>
        <v>16</v>
      </c>
      <c r="B17" s="184">
        <f t="shared" si="34"/>
        <v>-3</v>
      </c>
      <c r="C17" s="183">
        <f t="shared" si="2"/>
        <v>16</v>
      </c>
      <c r="E17" s="189" t="s">
        <v>525</v>
      </c>
      <c r="F17" s="190" t="s">
        <v>1029</v>
      </c>
      <c r="G17" s="190" t="s">
        <v>1029</v>
      </c>
      <c r="H17" s="190" t="s">
        <v>1029</v>
      </c>
      <c r="I17" s="190" t="s">
        <v>1029</v>
      </c>
      <c r="J17" s="190" t="s">
        <v>1029</v>
      </c>
      <c r="K17" s="190" t="s">
        <v>1029</v>
      </c>
      <c r="L17" s="190" t="s">
        <v>1029</v>
      </c>
      <c r="M17" s="190" t="s">
        <v>1029</v>
      </c>
      <c r="N17" s="190" t="s">
        <v>1029</v>
      </c>
      <c r="O17" s="190" t="s">
        <v>1029</v>
      </c>
      <c r="P17" s="190" t="s">
        <v>1029</v>
      </c>
      <c r="Q17" s="190" t="s">
        <v>1029</v>
      </c>
      <c r="R17" s="190" t="s">
        <v>1029</v>
      </c>
      <c r="S17" s="190" t="s">
        <v>1029</v>
      </c>
      <c r="T17" s="190" t="s">
        <v>1029</v>
      </c>
      <c r="U17" s="190" t="s">
        <v>1029</v>
      </c>
      <c r="V17" s="190" t="s">
        <v>1029</v>
      </c>
      <c r="W17" s="190" t="s">
        <v>1029</v>
      </c>
      <c r="X17" s="190" t="s">
        <v>1029</v>
      </c>
      <c r="Y17" s="190" t="s">
        <v>1029</v>
      </c>
      <c r="Z17" s="190"/>
      <c r="AA17" s="190" t="s">
        <v>1029</v>
      </c>
      <c r="AB17" s="190" t="s">
        <v>1029</v>
      </c>
      <c r="AC17" s="190" t="s">
        <v>1029</v>
      </c>
      <c r="AD17" s="190" t="s">
        <v>1029</v>
      </c>
      <c r="AE17" s="190"/>
      <c r="AF17" s="190" t="s">
        <v>1029</v>
      </c>
      <c r="AG17" s="190" t="s">
        <v>1029</v>
      </c>
      <c r="AH17" s="190" t="s">
        <v>1029</v>
      </c>
      <c r="AI17" s="190"/>
      <c r="AJ17" s="190" t="s">
        <v>1029</v>
      </c>
      <c r="AK17" s="190" t="s">
        <v>1029</v>
      </c>
      <c r="AL17" s="190" t="s">
        <v>1005</v>
      </c>
      <c r="AM17" s="190" t="s">
        <v>1029</v>
      </c>
      <c r="AN17" s="190"/>
      <c r="AO17" s="190" t="s">
        <v>1029</v>
      </c>
      <c r="AP17" s="190" t="s">
        <v>1029</v>
      </c>
      <c r="AQ17" s="190" t="s">
        <v>1029</v>
      </c>
      <c r="AR17" s="190"/>
      <c r="AS17" s="190" t="s">
        <v>1029</v>
      </c>
      <c r="AT17" s="190" t="s">
        <v>1029</v>
      </c>
      <c r="AU17" s="190" t="s">
        <v>1029</v>
      </c>
      <c r="AV17" s="190" t="s">
        <v>1029</v>
      </c>
      <c r="AW17" s="190" t="s">
        <v>1029</v>
      </c>
      <c r="AX17" s="190" t="s">
        <v>1029</v>
      </c>
      <c r="AY17" s="190" t="s">
        <v>1029</v>
      </c>
      <c r="AZ17" s="190" t="s">
        <v>1029</v>
      </c>
      <c r="BA17" s="190" t="s">
        <v>1029</v>
      </c>
      <c r="BB17" s="190" t="s">
        <v>1029</v>
      </c>
      <c r="BC17" s="190" t="s">
        <v>1029</v>
      </c>
      <c r="BD17" s="190" t="s">
        <v>1029</v>
      </c>
      <c r="BE17" s="190" t="s">
        <v>1029</v>
      </c>
      <c r="BF17" s="190" t="s">
        <v>1029</v>
      </c>
      <c r="BG17" s="190" t="s">
        <v>1029</v>
      </c>
      <c r="BH17" s="190" t="s">
        <v>1029</v>
      </c>
      <c r="BI17" s="190" t="s">
        <v>1029</v>
      </c>
      <c r="BJ17" s="190" t="s">
        <v>1029</v>
      </c>
      <c r="BK17" s="190" t="s">
        <v>1029</v>
      </c>
      <c r="BL17" s="190" t="s">
        <v>1029</v>
      </c>
      <c r="BM17" s="190" t="s">
        <v>1029</v>
      </c>
      <c r="BN17" s="190" t="s">
        <v>1029</v>
      </c>
      <c r="BO17" s="190" t="s">
        <v>1029</v>
      </c>
      <c r="BP17" s="190" t="s">
        <v>1029</v>
      </c>
      <c r="BQ17" s="190" t="s">
        <v>1029</v>
      </c>
      <c r="BR17" s="190" t="s">
        <v>1029</v>
      </c>
      <c r="BS17" s="190" t="s">
        <v>1029</v>
      </c>
      <c r="BT17" s="190" t="s">
        <v>1029</v>
      </c>
      <c r="BU17" s="190" t="s">
        <v>1029</v>
      </c>
      <c r="BV17" s="190" t="s">
        <v>1029</v>
      </c>
      <c r="BW17" s="190" t="s">
        <v>1029</v>
      </c>
      <c r="BX17" s="190" t="s">
        <v>1029</v>
      </c>
      <c r="BY17" s="190" t="s">
        <v>1029</v>
      </c>
      <c r="BZ17" s="190" t="s">
        <v>1029</v>
      </c>
      <c r="CA17" s="190" t="s">
        <v>1029</v>
      </c>
      <c r="CB17" s="190" t="s">
        <v>1029</v>
      </c>
      <c r="CC17" s="190" t="s">
        <v>1029</v>
      </c>
      <c r="CD17" s="190" t="s">
        <v>1029</v>
      </c>
      <c r="CE17" s="190" t="s">
        <v>1029</v>
      </c>
      <c r="CF17" s="190" t="s">
        <v>1029</v>
      </c>
      <c r="CG17" s="190" t="s">
        <v>1029</v>
      </c>
      <c r="CH17" s="190" t="s">
        <v>1029</v>
      </c>
      <c r="CI17" s="190" t="s">
        <v>1029</v>
      </c>
      <c r="CJ17" s="190" t="s">
        <v>1029</v>
      </c>
      <c r="CK17" s="190" t="s">
        <v>1029</v>
      </c>
      <c r="CL17" s="190" t="s">
        <v>1029</v>
      </c>
      <c r="CM17" s="190" t="s">
        <v>1029</v>
      </c>
      <c r="CN17" s="190" t="s">
        <v>1029</v>
      </c>
      <c r="CO17" s="190" t="s">
        <v>1029</v>
      </c>
      <c r="CP17" s="190" t="s">
        <v>1029</v>
      </c>
      <c r="CQ17" s="190" t="s">
        <v>1029</v>
      </c>
      <c r="CR17" s="190"/>
      <c r="CS17" s="190" t="s">
        <v>1029</v>
      </c>
      <c r="CT17" s="190" t="s">
        <v>1029</v>
      </c>
      <c r="CU17" s="190" t="s">
        <v>1029</v>
      </c>
      <c r="CV17" s="190" t="s">
        <v>1029</v>
      </c>
      <c r="CW17" s="190"/>
      <c r="CX17" s="190" t="s">
        <v>1029</v>
      </c>
      <c r="CY17" s="190" t="s">
        <v>1029</v>
      </c>
      <c r="CZ17" s="190" t="s">
        <v>1029</v>
      </c>
      <c r="DA17" s="190" t="s">
        <v>1029</v>
      </c>
      <c r="DB17" s="190" t="s">
        <v>1029</v>
      </c>
      <c r="DC17" s="190" t="s">
        <v>1029</v>
      </c>
      <c r="DD17" s="190" t="s">
        <v>1029</v>
      </c>
      <c r="DE17" s="190"/>
      <c r="DF17" s="174">
        <v>16</v>
      </c>
      <c r="DH17" s="268" t="s">
        <v>4184</v>
      </c>
      <c r="DI17" s="268" t="s">
        <v>4185</v>
      </c>
      <c r="DJ17" s="268">
        <v>2</v>
      </c>
      <c r="DK17" s="268"/>
      <c r="DL17" s="268">
        <v>-4</v>
      </c>
      <c r="DM17" s="268">
        <v>4</v>
      </c>
      <c r="DN17" s="268">
        <v>4</v>
      </c>
      <c r="DO17" s="268">
        <v>-4</v>
      </c>
      <c r="DP17" s="268">
        <v>2</v>
      </c>
      <c r="DQ17" s="268">
        <v>-2</v>
      </c>
      <c r="DR17" s="268">
        <v>4</v>
      </c>
      <c r="DS17" s="268"/>
      <c r="DT17" s="268">
        <v>10</v>
      </c>
      <c r="DU17" s="268">
        <v>10</v>
      </c>
      <c r="DV17" s="268">
        <v>10</v>
      </c>
      <c r="DW17" s="268">
        <v>20</v>
      </c>
      <c r="DX17" s="268">
        <v>10</v>
      </c>
      <c r="DY17" s="268">
        <v>1</v>
      </c>
      <c r="DZ17" s="268">
        <v>2</v>
      </c>
      <c r="EA17" s="268">
        <v>0.75</v>
      </c>
      <c r="EB17" s="268">
        <v>40</v>
      </c>
      <c r="EC17" s="174">
        <f t="shared" si="6"/>
        <v>6</v>
      </c>
      <c r="ED17" s="268" t="s">
        <v>4360</v>
      </c>
      <c r="EE17" s="174">
        <v>4322</v>
      </c>
      <c r="EF17" s="174">
        <v>6543</v>
      </c>
      <c r="EG17" s="174">
        <v>3211</v>
      </c>
      <c r="EH17" s="174">
        <v>4322</v>
      </c>
      <c r="EI17" s="174">
        <v>3221</v>
      </c>
      <c r="EJ17" s="174">
        <v>4322</v>
      </c>
      <c r="EK17" s="174">
        <v>2111</v>
      </c>
      <c r="EL17" s="174">
        <v>7421</v>
      </c>
      <c r="EN17" s="182" t="s">
        <v>506</v>
      </c>
      <c r="EO17" s="174">
        <v>3</v>
      </c>
      <c r="EP17" s="174">
        <v>2</v>
      </c>
      <c r="EQ17" s="174">
        <v>1</v>
      </c>
      <c r="ER17" s="174">
        <v>3</v>
      </c>
      <c r="ES17" s="174">
        <v>3</v>
      </c>
      <c r="ET17" s="174">
        <v>3</v>
      </c>
      <c r="EU17" s="174">
        <v>1</v>
      </c>
      <c r="EV17" s="174">
        <v>1</v>
      </c>
      <c r="EW17" s="174">
        <v>1</v>
      </c>
      <c r="EX17" s="174">
        <v>1</v>
      </c>
      <c r="EY17" s="174">
        <v>1</v>
      </c>
      <c r="EZ17" s="174">
        <v>1</v>
      </c>
      <c r="FA17" s="174">
        <v>1</v>
      </c>
      <c r="FB17" s="174">
        <v>1</v>
      </c>
      <c r="FC17" s="174">
        <v>1</v>
      </c>
      <c r="FD17" s="174">
        <v>2</v>
      </c>
      <c r="FE17" s="174">
        <v>2</v>
      </c>
      <c r="FF17" s="174">
        <v>2</v>
      </c>
      <c r="FG17" s="174">
        <v>2</v>
      </c>
      <c r="FH17" s="174">
        <v>1</v>
      </c>
      <c r="FI17" s="174">
        <v>1</v>
      </c>
      <c r="FJ17" s="174">
        <v>2</v>
      </c>
      <c r="FK17" s="174">
        <v>2</v>
      </c>
      <c r="FL17" s="174">
        <v>1</v>
      </c>
      <c r="FM17" s="174">
        <v>1</v>
      </c>
      <c r="FN17" s="174">
        <v>1</v>
      </c>
      <c r="FO17" s="174">
        <v>3</v>
      </c>
      <c r="FP17" s="174">
        <v>2</v>
      </c>
      <c r="FQ17" s="174">
        <v>1</v>
      </c>
      <c r="FR17" s="174">
        <v>1</v>
      </c>
      <c r="FS17" s="174">
        <v>1</v>
      </c>
      <c r="FT17" s="174">
        <v>1</v>
      </c>
      <c r="FU17" s="174">
        <v>1</v>
      </c>
      <c r="FV17" s="174">
        <v>1</v>
      </c>
      <c r="FW17" s="174">
        <v>1</v>
      </c>
      <c r="FX17" s="174">
        <v>1</v>
      </c>
      <c r="FY17" s="174">
        <v>2</v>
      </c>
      <c r="FZ17" s="174">
        <v>2</v>
      </c>
      <c r="HA17" s="174">
        <v>16</v>
      </c>
      <c r="HB17" s="197">
        <v>14</v>
      </c>
      <c r="HC17" s="183">
        <v>24</v>
      </c>
      <c r="HD17" s="183">
        <v>38</v>
      </c>
      <c r="HE17" s="183">
        <v>14</v>
      </c>
      <c r="HF17" s="183">
        <v>62</v>
      </c>
      <c r="HG17" s="193">
        <f t="shared" si="3"/>
        <v>62</v>
      </c>
      <c r="HH17" s="192" t="e">
        <f t="shared" si="7"/>
        <v>#REF!</v>
      </c>
      <c r="HI17" s="198">
        <v>14</v>
      </c>
      <c r="HJ17" s="185">
        <v>62</v>
      </c>
      <c r="HK17" s="174">
        <v>15</v>
      </c>
      <c r="HL17" s="174">
        <f t="shared" si="35"/>
        <v>110</v>
      </c>
      <c r="HM17" s="174">
        <f t="shared" si="36"/>
        <v>100</v>
      </c>
      <c r="HN17" s="174">
        <f t="shared" si="37"/>
        <v>95</v>
      </c>
      <c r="HO17" s="174">
        <f t="shared" si="38"/>
        <v>95</v>
      </c>
      <c r="HP17" s="174">
        <f t="shared" si="39"/>
        <v>95</v>
      </c>
      <c r="HQ17" s="174">
        <f t="shared" si="40"/>
        <v>95</v>
      </c>
      <c r="HR17" s="174">
        <f t="shared" si="41"/>
        <v>90</v>
      </c>
      <c r="HS17" s="174">
        <f t="shared" si="42"/>
        <v>90</v>
      </c>
      <c r="HT17" s="174">
        <f t="shared" si="43"/>
        <v>85</v>
      </c>
      <c r="HU17" s="174">
        <f t="shared" si="44"/>
        <v>85</v>
      </c>
      <c r="HV17" s="174">
        <f t="shared" si="45"/>
        <v>85</v>
      </c>
      <c r="HW17" s="174">
        <f t="shared" si="46"/>
        <v>85</v>
      </c>
      <c r="HX17" s="174">
        <f t="shared" si="47"/>
        <v>80</v>
      </c>
      <c r="HY17" s="174">
        <f t="shared" si="48"/>
        <v>80</v>
      </c>
      <c r="HZ17" s="174">
        <f t="shared" si="49"/>
        <v>75</v>
      </c>
      <c r="IA17" s="174">
        <f t="shared" si="50"/>
        <v>75</v>
      </c>
      <c r="IB17" s="174">
        <f t="shared" si="51"/>
        <v>70</v>
      </c>
      <c r="IC17" s="174">
        <f t="shared" si="52"/>
        <v>65</v>
      </c>
      <c r="ID17" s="174">
        <f t="shared" si="53"/>
        <v>65</v>
      </c>
      <c r="IE17" s="174">
        <f t="shared" si="54"/>
        <v>55</v>
      </c>
      <c r="IF17" s="174">
        <f t="shared" si="55"/>
        <v>55</v>
      </c>
      <c r="IG17" s="174">
        <f t="shared" si="56"/>
        <v>40</v>
      </c>
      <c r="IH17" s="174">
        <f t="shared" si="57"/>
        <v>40</v>
      </c>
      <c r="II17" s="174">
        <f t="shared" si="58"/>
        <v>25</v>
      </c>
      <c r="IJ17" s="174">
        <v>17</v>
      </c>
      <c r="IN17" s="174">
        <f>Skills!K332</f>
        <v>-14.509840000000001</v>
      </c>
      <c r="IO17" s="174" t="str">
        <f>Skills!B332</f>
        <v>Pole Arm</v>
      </c>
      <c r="IR17" s="174">
        <v>300000</v>
      </c>
      <c r="IS17" s="174">
        <v>15</v>
      </c>
    </row>
    <row r="18" spans="1:253" ht="13.35" customHeight="1" x14ac:dyDescent="0.2">
      <c r="A18" s="183">
        <f t="shared" si="1"/>
        <v>17</v>
      </c>
      <c r="B18" s="184">
        <f t="shared" si="34"/>
        <v>-3</v>
      </c>
      <c r="C18" s="183">
        <f t="shared" si="2"/>
        <v>17</v>
      </c>
      <c r="E18" s="189" t="s">
        <v>543</v>
      </c>
      <c r="F18" s="190" t="s">
        <v>1042</v>
      </c>
      <c r="G18" s="190" t="s">
        <v>1042</v>
      </c>
      <c r="H18" s="190" t="s">
        <v>1042</v>
      </c>
      <c r="I18" s="190" t="s">
        <v>1042</v>
      </c>
      <c r="J18" s="190" t="s">
        <v>995</v>
      </c>
      <c r="K18" s="190" t="s">
        <v>991</v>
      </c>
      <c r="L18" s="190" t="s">
        <v>995</v>
      </c>
      <c r="M18" s="190" t="s">
        <v>1009</v>
      </c>
      <c r="N18" s="190" t="s">
        <v>1009</v>
      </c>
      <c r="O18" s="190" t="s">
        <v>995</v>
      </c>
      <c r="P18" s="190" t="s">
        <v>1010</v>
      </c>
      <c r="Q18" s="190" t="s">
        <v>1009</v>
      </c>
      <c r="R18" s="190" t="s">
        <v>995</v>
      </c>
      <c r="S18" s="190" t="s">
        <v>991</v>
      </c>
      <c r="T18" s="190" t="s">
        <v>1030</v>
      </c>
      <c r="U18" s="190" t="s">
        <v>1042</v>
      </c>
      <c r="V18" s="190" t="s">
        <v>987</v>
      </c>
      <c r="W18" s="190" t="s">
        <v>1004</v>
      </c>
      <c r="X18" s="190" t="s">
        <v>930</v>
      </c>
      <c r="Y18" s="190" t="s">
        <v>930</v>
      </c>
      <c r="Z18" s="190"/>
      <c r="AA18" s="190" t="s">
        <v>991</v>
      </c>
      <c r="AB18" s="190" t="s">
        <v>1009</v>
      </c>
      <c r="AC18" s="190" t="s">
        <v>930</v>
      </c>
      <c r="AD18" s="190" t="s">
        <v>1031</v>
      </c>
      <c r="AE18" s="190"/>
      <c r="AF18" s="190" t="s">
        <v>1006</v>
      </c>
      <c r="AG18" s="190" t="s">
        <v>1006</v>
      </c>
      <c r="AH18" s="190" t="s">
        <v>1005</v>
      </c>
      <c r="AI18" s="190"/>
      <c r="AJ18" s="190" t="s">
        <v>1030</v>
      </c>
      <c r="AK18" s="190" t="s">
        <v>1029</v>
      </c>
      <c r="AL18" s="190" t="s">
        <v>1010</v>
      </c>
      <c r="AM18" s="190" t="s">
        <v>1009</v>
      </c>
      <c r="AN18" s="190"/>
      <c r="AO18" s="190" t="s">
        <v>1009</v>
      </c>
      <c r="AP18" s="190" t="s">
        <v>1009</v>
      </c>
      <c r="AQ18" s="190" t="s">
        <v>1042</v>
      </c>
      <c r="AR18" s="190"/>
      <c r="AS18" s="190" t="s">
        <v>1009</v>
      </c>
      <c r="AT18" s="190" t="s">
        <v>1009</v>
      </c>
      <c r="AU18" s="190" t="s">
        <v>1009</v>
      </c>
      <c r="AV18" s="190" t="s">
        <v>1009</v>
      </c>
      <c r="AW18" s="190" t="s">
        <v>1009</v>
      </c>
      <c r="AX18" s="190" t="s">
        <v>1009</v>
      </c>
      <c r="AY18" s="190" t="s">
        <v>1009</v>
      </c>
      <c r="AZ18" s="190" t="s">
        <v>1009</v>
      </c>
      <c r="BA18" s="190" t="s">
        <v>1009</v>
      </c>
      <c r="BB18" s="190" t="s">
        <v>1009</v>
      </c>
      <c r="BC18" s="190" t="s">
        <v>1009</v>
      </c>
      <c r="BD18" s="190" t="s">
        <v>1009</v>
      </c>
      <c r="BE18" s="190" t="s">
        <v>1009</v>
      </c>
      <c r="BF18" s="190" t="s">
        <v>1009</v>
      </c>
      <c r="BG18" s="190" t="s">
        <v>1009</v>
      </c>
      <c r="BH18" s="190" t="s">
        <v>1009</v>
      </c>
      <c r="BI18" s="190" t="s">
        <v>1009</v>
      </c>
      <c r="BJ18" s="190" t="s">
        <v>1009</v>
      </c>
      <c r="BK18" s="190" t="s">
        <v>1009</v>
      </c>
      <c r="BL18" s="190" t="s">
        <v>1009</v>
      </c>
      <c r="BM18" s="190" t="s">
        <v>1009</v>
      </c>
      <c r="BN18" s="190" t="s">
        <v>1009</v>
      </c>
      <c r="BO18" s="190" t="s">
        <v>1009</v>
      </c>
      <c r="BP18" s="190" t="s">
        <v>1009</v>
      </c>
      <c r="BQ18" s="190" t="s">
        <v>1009</v>
      </c>
      <c r="BR18" s="190" t="s">
        <v>1009</v>
      </c>
      <c r="BS18" s="190" t="s">
        <v>1009</v>
      </c>
      <c r="BT18" s="190" t="s">
        <v>1009</v>
      </c>
      <c r="BU18" s="190" t="s">
        <v>1009</v>
      </c>
      <c r="BV18" s="190" t="s">
        <v>1009</v>
      </c>
      <c r="BW18" s="190" t="s">
        <v>1009</v>
      </c>
      <c r="BX18" s="190" t="s">
        <v>1009</v>
      </c>
      <c r="BY18" s="190" t="s">
        <v>1009</v>
      </c>
      <c r="BZ18" s="190" t="s">
        <v>1009</v>
      </c>
      <c r="CA18" s="190" t="s">
        <v>1009</v>
      </c>
      <c r="CB18" s="190" t="s">
        <v>1009</v>
      </c>
      <c r="CC18" s="190" t="s">
        <v>1009</v>
      </c>
      <c r="CD18" s="190" t="s">
        <v>1009</v>
      </c>
      <c r="CE18" s="190" t="s">
        <v>1009</v>
      </c>
      <c r="CF18" s="190" t="s">
        <v>1009</v>
      </c>
      <c r="CG18" s="190" t="s">
        <v>1009</v>
      </c>
      <c r="CH18" s="190" t="s">
        <v>1009</v>
      </c>
      <c r="CI18" s="190" t="s">
        <v>1009</v>
      </c>
      <c r="CJ18" s="190" t="s">
        <v>1009</v>
      </c>
      <c r="CK18" s="190" t="s">
        <v>1009</v>
      </c>
      <c r="CL18" s="190" t="s">
        <v>1009</v>
      </c>
      <c r="CM18" s="190" t="s">
        <v>1009</v>
      </c>
      <c r="CN18" s="190" t="s">
        <v>1009</v>
      </c>
      <c r="CO18" s="190" t="s">
        <v>1009</v>
      </c>
      <c r="CP18" s="190" t="s">
        <v>1009</v>
      </c>
      <c r="CQ18" s="190" t="s">
        <v>1009</v>
      </c>
      <c r="CR18" s="190"/>
      <c r="CS18" s="190" t="s">
        <v>1042</v>
      </c>
      <c r="CT18" s="190" t="s">
        <v>1042</v>
      </c>
      <c r="CU18" s="190" t="s">
        <v>1030</v>
      </c>
      <c r="CV18" s="190" t="s">
        <v>1042</v>
      </c>
      <c r="CW18" s="190"/>
      <c r="CX18" s="190" t="s">
        <v>1042</v>
      </c>
      <c r="CY18" s="190" t="s">
        <v>1009</v>
      </c>
      <c r="CZ18" s="190" t="s">
        <v>1009</v>
      </c>
      <c r="DA18" s="190" t="s">
        <v>1042</v>
      </c>
      <c r="DB18" s="190" t="s">
        <v>1009</v>
      </c>
      <c r="DC18" s="190" t="s">
        <v>1009</v>
      </c>
      <c r="DD18" s="190" t="s">
        <v>1010</v>
      </c>
      <c r="DE18" s="190"/>
      <c r="DF18" s="174">
        <v>17</v>
      </c>
      <c r="DH18" s="268" t="s">
        <v>905</v>
      </c>
      <c r="DI18" s="268" t="s">
        <v>4361</v>
      </c>
      <c r="DJ18" s="268">
        <v>6</v>
      </c>
      <c r="DK18" s="268">
        <v>6</v>
      </c>
      <c r="DL18" s="268">
        <v>-4</v>
      </c>
      <c r="DM18" s="268"/>
      <c r="DN18" s="268"/>
      <c r="DO18" s="268">
        <v>-6</v>
      </c>
      <c r="DP18" s="268">
        <v>4</v>
      </c>
      <c r="DQ18" s="268">
        <v>-4</v>
      </c>
      <c r="DR18" s="268"/>
      <c r="DS18" s="268">
        <v>2</v>
      </c>
      <c r="DT18" s="268">
        <v>25</v>
      </c>
      <c r="DU18" s="268">
        <v>10</v>
      </c>
      <c r="DV18" s="268">
        <v>20</v>
      </c>
      <c r="DW18" s="268">
        <v>30</v>
      </c>
      <c r="DX18" s="268">
        <v>15</v>
      </c>
      <c r="DY18" s="268">
        <v>1</v>
      </c>
      <c r="DZ18" s="268">
        <v>5</v>
      </c>
      <c r="EA18" s="268">
        <v>0.5</v>
      </c>
      <c r="EB18" s="268">
        <v>45</v>
      </c>
      <c r="EC18" s="174">
        <f t="shared" si="6"/>
        <v>4</v>
      </c>
      <c r="ED18" s="268" t="s">
        <v>4199</v>
      </c>
      <c r="EE18" s="174">
        <v>6543</v>
      </c>
      <c r="EF18" s="174">
        <v>6543</v>
      </c>
      <c r="EG18" s="174">
        <v>7654</v>
      </c>
      <c r="EH18" s="174">
        <v>6543</v>
      </c>
      <c r="EI18" s="174">
        <v>6543</v>
      </c>
      <c r="EJ18" s="174">
        <v>6543</v>
      </c>
      <c r="EK18" s="174">
        <v>6543</v>
      </c>
      <c r="EL18" s="174">
        <v>6421</v>
      </c>
      <c r="EN18" s="182" t="s">
        <v>517</v>
      </c>
      <c r="EO18" s="174">
        <v>2</v>
      </c>
      <c r="EP18" s="174">
        <v>2</v>
      </c>
      <c r="EQ18" s="174">
        <v>2</v>
      </c>
      <c r="ER18" s="174">
        <v>1</v>
      </c>
      <c r="ES18" s="174">
        <v>1</v>
      </c>
      <c r="ET18" s="174">
        <v>1</v>
      </c>
      <c r="EU18" s="174">
        <v>2</v>
      </c>
      <c r="EV18" s="174">
        <v>3</v>
      </c>
      <c r="EW18" s="174">
        <v>3</v>
      </c>
      <c r="EX18" s="174">
        <v>4</v>
      </c>
      <c r="EY18" s="174">
        <v>1</v>
      </c>
      <c r="EZ18" s="174">
        <v>2</v>
      </c>
      <c r="FA18" s="174">
        <v>2</v>
      </c>
      <c r="FB18" s="174">
        <v>1</v>
      </c>
      <c r="FC18" s="174">
        <v>1</v>
      </c>
      <c r="FD18" s="174">
        <v>1</v>
      </c>
      <c r="FE18" s="174">
        <v>1</v>
      </c>
      <c r="FF18" s="174">
        <v>1</v>
      </c>
      <c r="FG18" s="174">
        <v>1</v>
      </c>
      <c r="FH18" s="174">
        <v>1</v>
      </c>
      <c r="FI18" s="174">
        <v>2</v>
      </c>
      <c r="FJ18" s="174">
        <v>2</v>
      </c>
      <c r="FK18" s="174">
        <v>1</v>
      </c>
      <c r="FL18" s="174">
        <v>1</v>
      </c>
      <c r="FM18" s="174">
        <v>1</v>
      </c>
      <c r="FN18" s="174">
        <v>3</v>
      </c>
      <c r="FO18" s="174">
        <v>1</v>
      </c>
      <c r="FP18" s="174">
        <v>3</v>
      </c>
      <c r="FQ18" s="174">
        <v>1</v>
      </c>
      <c r="FR18" s="174">
        <v>1</v>
      </c>
      <c r="FS18" s="174">
        <v>1</v>
      </c>
      <c r="FT18" s="174">
        <v>1</v>
      </c>
      <c r="FU18" s="174">
        <v>1</v>
      </c>
      <c r="FV18" s="174">
        <v>1</v>
      </c>
      <c r="FW18" s="174">
        <v>1</v>
      </c>
      <c r="FX18" s="174">
        <v>3</v>
      </c>
      <c r="FY18" s="174">
        <v>1</v>
      </c>
      <c r="FZ18" s="174">
        <v>1</v>
      </c>
      <c r="HA18" s="174">
        <v>17</v>
      </c>
      <c r="HB18" s="197">
        <v>15</v>
      </c>
      <c r="HC18" s="183">
        <v>25</v>
      </c>
      <c r="HD18" s="183">
        <v>40</v>
      </c>
      <c r="HE18" s="183">
        <v>15</v>
      </c>
      <c r="HF18" s="183">
        <v>65</v>
      </c>
      <c r="HG18" s="193">
        <f t="shared" si="3"/>
        <v>65</v>
      </c>
      <c r="HH18" s="192" t="e">
        <f t="shared" si="7"/>
        <v>#REF!</v>
      </c>
      <c r="HI18" s="198">
        <v>15</v>
      </c>
      <c r="HJ18" s="185">
        <v>65</v>
      </c>
      <c r="HK18" s="174">
        <v>16</v>
      </c>
      <c r="HL18" s="174">
        <f t="shared" si="35"/>
        <v>116</v>
      </c>
      <c r="HM18" s="174">
        <f t="shared" si="36"/>
        <v>106</v>
      </c>
      <c r="HN18" s="174">
        <f t="shared" si="37"/>
        <v>100</v>
      </c>
      <c r="HO18" s="174">
        <f t="shared" si="38"/>
        <v>100</v>
      </c>
      <c r="HP18" s="174">
        <f t="shared" si="39"/>
        <v>100</v>
      </c>
      <c r="HQ18" s="174">
        <f t="shared" si="40"/>
        <v>100</v>
      </c>
      <c r="HR18" s="174">
        <f t="shared" si="41"/>
        <v>94</v>
      </c>
      <c r="HS18" s="174">
        <f t="shared" si="42"/>
        <v>94</v>
      </c>
      <c r="HT18" s="174">
        <f t="shared" si="43"/>
        <v>88</v>
      </c>
      <c r="HU18" s="174">
        <f t="shared" si="44"/>
        <v>90</v>
      </c>
      <c r="HV18" s="174">
        <f t="shared" si="45"/>
        <v>90</v>
      </c>
      <c r="HW18" s="174">
        <f t="shared" si="46"/>
        <v>90</v>
      </c>
      <c r="HX18" s="174">
        <f t="shared" si="47"/>
        <v>84</v>
      </c>
      <c r="HY18" s="174">
        <f t="shared" si="48"/>
        <v>84</v>
      </c>
      <c r="HZ18" s="174">
        <f t="shared" si="49"/>
        <v>78</v>
      </c>
      <c r="IA18" s="174">
        <f t="shared" si="50"/>
        <v>78</v>
      </c>
      <c r="IB18" s="174">
        <f t="shared" si="51"/>
        <v>74</v>
      </c>
      <c r="IC18" s="174">
        <f t="shared" si="52"/>
        <v>68</v>
      </c>
      <c r="ID18" s="174">
        <f t="shared" si="53"/>
        <v>68</v>
      </c>
      <c r="IE18" s="174">
        <f t="shared" si="54"/>
        <v>58</v>
      </c>
      <c r="IF18" s="174">
        <f t="shared" si="55"/>
        <v>58</v>
      </c>
      <c r="IG18" s="174">
        <f t="shared" si="56"/>
        <v>42</v>
      </c>
      <c r="IH18" s="174">
        <f t="shared" si="57"/>
        <v>42</v>
      </c>
      <c r="II18" s="174">
        <f t="shared" si="58"/>
        <v>26</v>
      </c>
      <c r="IJ18" s="174">
        <v>18</v>
      </c>
      <c r="IN18" s="174">
        <f>Skills!K334</f>
        <v>3.49017</v>
      </c>
      <c r="IO18" s="174" t="str">
        <f>Skills!B334</f>
        <v>Thrown</v>
      </c>
      <c r="IR18" s="174">
        <v>340000</v>
      </c>
      <c r="IS18" s="174">
        <v>16</v>
      </c>
    </row>
    <row r="19" spans="1:253" ht="13.35" customHeight="1" x14ac:dyDescent="0.2">
      <c r="A19" s="183">
        <f t="shared" si="1"/>
        <v>18</v>
      </c>
      <c r="B19" s="184">
        <f t="shared" si="34"/>
        <v>-3</v>
      </c>
      <c r="C19" s="183">
        <f t="shared" si="2"/>
        <v>18</v>
      </c>
      <c r="E19" s="189" t="s">
        <v>546</v>
      </c>
      <c r="F19" s="190" t="s">
        <v>1010</v>
      </c>
      <c r="G19" s="190" t="s">
        <v>991</v>
      </c>
      <c r="H19" s="190" t="s">
        <v>991</v>
      </c>
      <c r="I19" s="190" t="s">
        <v>1010</v>
      </c>
      <c r="J19" s="190" t="s">
        <v>991</v>
      </c>
      <c r="K19" s="190" t="s">
        <v>995</v>
      </c>
      <c r="L19" s="190" t="s">
        <v>991</v>
      </c>
      <c r="M19" s="190" t="s">
        <v>992</v>
      </c>
      <c r="N19" s="190" t="s">
        <v>995</v>
      </c>
      <c r="O19" s="190" t="s">
        <v>995</v>
      </c>
      <c r="P19" s="190" t="s">
        <v>995</v>
      </c>
      <c r="Q19" s="190" t="s">
        <v>995</v>
      </c>
      <c r="R19" s="190" t="s">
        <v>994</v>
      </c>
      <c r="S19" s="190" t="s">
        <v>995</v>
      </c>
      <c r="T19" s="190" t="s">
        <v>995</v>
      </c>
      <c r="U19" s="190" t="s">
        <v>993</v>
      </c>
      <c r="V19" s="190" t="s">
        <v>995</v>
      </c>
      <c r="W19" s="190" t="s">
        <v>995</v>
      </c>
      <c r="X19" s="190" t="s">
        <v>994</v>
      </c>
      <c r="Y19" s="190" t="s">
        <v>993</v>
      </c>
      <c r="Z19" s="190"/>
      <c r="AA19" s="190" t="s">
        <v>991</v>
      </c>
      <c r="AB19" s="190" t="s">
        <v>991</v>
      </c>
      <c r="AC19" s="190" t="s">
        <v>995</v>
      </c>
      <c r="AD19" s="190" t="s">
        <v>992</v>
      </c>
      <c r="AE19" s="190"/>
      <c r="AF19" s="190" t="s">
        <v>995</v>
      </c>
      <c r="AG19" s="190" t="s">
        <v>995</v>
      </c>
      <c r="AH19" s="190" t="s">
        <v>995</v>
      </c>
      <c r="AI19" s="190"/>
      <c r="AJ19" s="190" t="s">
        <v>993</v>
      </c>
      <c r="AK19" s="190" t="s">
        <v>994</v>
      </c>
      <c r="AL19" s="190" t="s">
        <v>995</v>
      </c>
      <c r="AM19" s="190" t="s">
        <v>992</v>
      </c>
      <c r="AN19" s="190"/>
      <c r="AO19" s="190" t="s">
        <v>995</v>
      </c>
      <c r="AP19" s="190" t="s">
        <v>994</v>
      </c>
      <c r="AQ19" s="190" t="s">
        <v>994</v>
      </c>
      <c r="AR19" s="190"/>
      <c r="AS19" s="190" t="s">
        <v>992</v>
      </c>
      <c r="AT19" s="190" t="s">
        <v>992</v>
      </c>
      <c r="AU19" s="190" t="s">
        <v>992</v>
      </c>
      <c r="AV19" s="190" t="s">
        <v>992</v>
      </c>
      <c r="AW19" s="190" t="s">
        <v>992</v>
      </c>
      <c r="AX19" s="190" t="s">
        <v>992</v>
      </c>
      <c r="AY19" s="190" t="s">
        <v>992</v>
      </c>
      <c r="AZ19" s="190" t="s">
        <v>992</v>
      </c>
      <c r="BA19" s="190" t="s">
        <v>992</v>
      </c>
      <c r="BB19" s="190" t="s">
        <v>992</v>
      </c>
      <c r="BC19" s="190" t="s">
        <v>992</v>
      </c>
      <c r="BD19" s="190" t="s">
        <v>992</v>
      </c>
      <c r="BE19" s="190" t="s">
        <v>992</v>
      </c>
      <c r="BF19" s="190" t="s">
        <v>992</v>
      </c>
      <c r="BG19" s="190" t="s">
        <v>992</v>
      </c>
      <c r="BH19" s="190" t="s">
        <v>992</v>
      </c>
      <c r="BI19" s="190" t="s">
        <v>992</v>
      </c>
      <c r="BJ19" s="190" t="s">
        <v>992</v>
      </c>
      <c r="BK19" s="190" t="s">
        <v>992</v>
      </c>
      <c r="BL19" s="190" t="s">
        <v>992</v>
      </c>
      <c r="BM19" s="190" t="s">
        <v>992</v>
      </c>
      <c r="BN19" s="190" t="s">
        <v>992</v>
      </c>
      <c r="BO19" s="190" t="s">
        <v>992</v>
      </c>
      <c r="BP19" s="190" t="s">
        <v>992</v>
      </c>
      <c r="BQ19" s="190" t="s">
        <v>992</v>
      </c>
      <c r="BR19" s="190" t="s">
        <v>992</v>
      </c>
      <c r="BS19" s="190" t="s">
        <v>992</v>
      </c>
      <c r="BT19" s="190" t="s">
        <v>992</v>
      </c>
      <c r="BU19" s="190" t="s">
        <v>992</v>
      </c>
      <c r="BV19" s="190" t="s">
        <v>992</v>
      </c>
      <c r="BW19" s="190" t="s">
        <v>992</v>
      </c>
      <c r="BX19" s="190" t="s">
        <v>992</v>
      </c>
      <c r="BY19" s="190" t="s">
        <v>992</v>
      </c>
      <c r="BZ19" s="190" t="s">
        <v>992</v>
      </c>
      <c r="CA19" s="190" t="s">
        <v>992</v>
      </c>
      <c r="CB19" s="190" t="s">
        <v>992</v>
      </c>
      <c r="CC19" s="190" t="s">
        <v>992</v>
      </c>
      <c r="CD19" s="190" t="s">
        <v>992</v>
      </c>
      <c r="CE19" s="190" t="s">
        <v>992</v>
      </c>
      <c r="CF19" s="190" t="s">
        <v>992</v>
      </c>
      <c r="CG19" s="190" t="s">
        <v>992</v>
      </c>
      <c r="CH19" s="190" t="s">
        <v>992</v>
      </c>
      <c r="CI19" s="190" t="s">
        <v>992</v>
      </c>
      <c r="CJ19" s="190" t="s">
        <v>992</v>
      </c>
      <c r="CK19" s="190" t="s">
        <v>992</v>
      </c>
      <c r="CL19" s="190" t="s">
        <v>992</v>
      </c>
      <c r="CM19" s="190" t="s">
        <v>992</v>
      </c>
      <c r="CN19" s="190" t="s">
        <v>992</v>
      </c>
      <c r="CO19" s="190" t="s">
        <v>992</v>
      </c>
      <c r="CP19" s="190" t="s">
        <v>992</v>
      </c>
      <c r="CQ19" s="190" t="s">
        <v>992</v>
      </c>
      <c r="CR19" s="190"/>
      <c r="CS19" s="190" t="s">
        <v>1010</v>
      </c>
      <c r="CT19" s="190" t="s">
        <v>995</v>
      </c>
      <c r="CU19" s="190" t="s">
        <v>995</v>
      </c>
      <c r="CV19" s="190" t="s">
        <v>991</v>
      </c>
      <c r="CW19" s="190"/>
      <c r="CX19" s="190" t="s">
        <v>995</v>
      </c>
      <c r="CY19" s="190" t="s">
        <v>992</v>
      </c>
      <c r="CZ19" s="190" t="s">
        <v>995</v>
      </c>
      <c r="DA19" s="190" t="s">
        <v>1010</v>
      </c>
      <c r="DB19" s="190" t="s">
        <v>995</v>
      </c>
      <c r="DC19" s="190" t="s">
        <v>995</v>
      </c>
      <c r="DD19" s="190" t="s">
        <v>995</v>
      </c>
      <c r="DE19" s="190"/>
      <c r="DF19" s="174">
        <v>18</v>
      </c>
      <c r="DH19" s="268" t="s">
        <v>905</v>
      </c>
      <c r="DI19" s="268" t="s">
        <v>4393</v>
      </c>
      <c r="DJ19" s="268">
        <v>6</v>
      </c>
      <c r="DK19" s="268">
        <v>6</v>
      </c>
      <c r="DL19" s="268">
        <v>-4</v>
      </c>
      <c r="DM19" s="268"/>
      <c r="DN19" s="268"/>
      <c r="DO19" s="268">
        <v>-6</v>
      </c>
      <c r="DP19" s="268">
        <v>4</v>
      </c>
      <c r="DQ19" s="268">
        <v>-2</v>
      </c>
      <c r="DR19" s="268"/>
      <c r="DS19" s="268"/>
      <c r="DT19" s="268">
        <v>25</v>
      </c>
      <c r="DU19" s="268">
        <v>10</v>
      </c>
      <c r="DV19" s="268">
        <v>20</v>
      </c>
      <c r="DW19" s="268">
        <v>30</v>
      </c>
      <c r="DX19" s="268">
        <v>15</v>
      </c>
      <c r="DY19" s="268">
        <v>1</v>
      </c>
      <c r="DZ19" s="268">
        <v>5</v>
      </c>
      <c r="EA19" s="268">
        <v>0.5</v>
      </c>
      <c r="EB19" s="268">
        <v>50</v>
      </c>
      <c r="EC19" s="174">
        <f t="shared" si="6"/>
        <v>4</v>
      </c>
      <c r="ED19" s="268" t="s">
        <v>899</v>
      </c>
      <c r="EE19" s="174">
        <v>6543</v>
      </c>
      <c r="EF19" s="174">
        <v>6543</v>
      </c>
      <c r="EG19" s="174">
        <v>7654</v>
      </c>
      <c r="EH19" s="174">
        <v>6543</v>
      </c>
      <c r="EI19" s="174">
        <v>6543</v>
      </c>
      <c r="EJ19" s="174">
        <v>6543</v>
      </c>
      <c r="EK19" s="174">
        <v>6543</v>
      </c>
      <c r="EL19" s="174">
        <v>7431</v>
      </c>
      <c r="EN19" s="174" t="s">
        <v>173</v>
      </c>
      <c r="EO19" s="174">
        <v>10</v>
      </c>
      <c r="EP19" s="174">
        <v>10</v>
      </c>
      <c r="EQ19" s="174">
        <v>6</v>
      </c>
      <c r="ER19" s="174">
        <v>8</v>
      </c>
      <c r="ES19" s="174">
        <v>8</v>
      </c>
      <c r="ET19" s="174">
        <v>8</v>
      </c>
      <c r="EU19" s="174">
        <v>8</v>
      </c>
      <c r="EV19" s="174">
        <v>8</v>
      </c>
      <c r="EW19" s="174">
        <v>16</v>
      </c>
      <c r="EX19" s="174">
        <v>20</v>
      </c>
      <c r="EY19" s="174">
        <v>2</v>
      </c>
      <c r="EZ19" s="174">
        <v>10</v>
      </c>
      <c r="FA19" s="174">
        <v>8</v>
      </c>
      <c r="FB19" s="174">
        <v>8</v>
      </c>
      <c r="FC19" s="174">
        <v>8</v>
      </c>
      <c r="FD19" s="174">
        <v>10</v>
      </c>
      <c r="FE19" s="174">
        <v>6</v>
      </c>
      <c r="FF19" s="174">
        <v>6</v>
      </c>
      <c r="FG19" s="174">
        <v>6</v>
      </c>
      <c r="FH19" s="174">
        <v>6</v>
      </c>
      <c r="FI19" s="174">
        <v>10</v>
      </c>
      <c r="FJ19" s="174">
        <v>8</v>
      </c>
      <c r="FK19" s="174">
        <v>6</v>
      </c>
      <c r="FL19" s="174">
        <v>6</v>
      </c>
      <c r="FM19" s="174">
        <v>6</v>
      </c>
      <c r="FN19" s="174">
        <v>10</v>
      </c>
      <c r="FO19" s="174">
        <v>10</v>
      </c>
      <c r="FP19" s="174">
        <v>10</v>
      </c>
      <c r="FQ19" s="174">
        <v>8</v>
      </c>
      <c r="FR19" s="174">
        <v>4</v>
      </c>
      <c r="FS19" s="174">
        <v>8</v>
      </c>
      <c r="FT19" s="174">
        <v>8</v>
      </c>
      <c r="FU19" s="174">
        <v>8</v>
      </c>
      <c r="FV19" s="174">
        <v>6</v>
      </c>
      <c r="FW19" s="174">
        <v>6</v>
      </c>
      <c r="FX19" s="174">
        <v>10</v>
      </c>
      <c r="FY19" s="174">
        <v>4</v>
      </c>
      <c r="FZ19" s="174">
        <v>4</v>
      </c>
      <c r="HA19" s="174">
        <v>18</v>
      </c>
      <c r="HB19" s="197">
        <v>16</v>
      </c>
      <c r="HC19" s="183">
        <v>26</v>
      </c>
      <c r="HD19" s="183">
        <v>42</v>
      </c>
      <c r="HE19" s="183">
        <v>16</v>
      </c>
      <c r="HF19" s="183">
        <v>68</v>
      </c>
      <c r="HG19" s="193">
        <f t="shared" si="3"/>
        <v>68</v>
      </c>
      <c r="HH19" s="192" t="e">
        <f t="shared" si="7"/>
        <v>#REF!</v>
      </c>
      <c r="HI19" s="198">
        <v>16</v>
      </c>
      <c r="HJ19" s="185">
        <v>68</v>
      </c>
      <c r="HK19" s="174">
        <v>17</v>
      </c>
      <c r="HL19" s="174">
        <f t="shared" si="35"/>
        <v>122</v>
      </c>
      <c r="HM19" s="174">
        <f t="shared" si="36"/>
        <v>112</v>
      </c>
      <c r="HN19" s="174">
        <f t="shared" si="37"/>
        <v>105</v>
      </c>
      <c r="HO19" s="174">
        <f t="shared" si="38"/>
        <v>105</v>
      </c>
      <c r="HP19" s="174">
        <f t="shared" si="39"/>
        <v>105</v>
      </c>
      <c r="HQ19" s="174">
        <f t="shared" si="40"/>
        <v>105</v>
      </c>
      <c r="HR19" s="174">
        <f t="shared" si="41"/>
        <v>98</v>
      </c>
      <c r="HS19" s="174">
        <f t="shared" si="42"/>
        <v>98</v>
      </c>
      <c r="HT19" s="174">
        <f t="shared" si="43"/>
        <v>91</v>
      </c>
      <c r="HU19" s="174">
        <f t="shared" si="44"/>
        <v>95</v>
      </c>
      <c r="HV19" s="174">
        <f t="shared" si="45"/>
        <v>95</v>
      </c>
      <c r="HW19" s="174">
        <f t="shared" si="46"/>
        <v>95</v>
      </c>
      <c r="HX19" s="174">
        <f t="shared" si="47"/>
        <v>88</v>
      </c>
      <c r="HY19" s="174">
        <f t="shared" si="48"/>
        <v>88</v>
      </c>
      <c r="HZ19" s="174">
        <f t="shared" si="49"/>
        <v>81</v>
      </c>
      <c r="IA19" s="174">
        <f t="shared" si="50"/>
        <v>81</v>
      </c>
      <c r="IB19" s="174">
        <f t="shared" si="51"/>
        <v>78</v>
      </c>
      <c r="IC19" s="174">
        <f t="shared" si="52"/>
        <v>71</v>
      </c>
      <c r="ID19" s="174">
        <f t="shared" si="53"/>
        <v>71</v>
      </c>
      <c r="IE19" s="174">
        <f t="shared" si="54"/>
        <v>61</v>
      </c>
      <c r="IF19" s="174">
        <f t="shared" si="55"/>
        <v>61</v>
      </c>
      <c r="IG19" s="174">
        <f t="shared" si="56"/>
        <v>44</v>
      </c>
      <c r="IH19" s="174">
        <f t="shared" si="57"/>
        <v>44</v>
      </c>
      <c r="II19" s="174">
        <f t="shared" si="58"/>
        <v>27</v>
      </c>
      <c r="IJ19" s="174">
        <v>19</v>
      </c>
      <c r="IN19" s="174">
        <f>Skills!K335</f>
        <v>3.4901800000000001</v>
      </c>
      <c r="IO19" s="174" t="str">
        <f>Skills!B335</f>
        <v>Thrown</v>
      </c>
      <c r="IR19" s="174">
        <v>380000</v>
      </c>
      <c r="IS19" s="174">
        <v>17</v>
      </c>
    </row>
    <row r="20" spans="1:253" ht="13.35" customHeight="1" x14ac:dyDescent="0.2">
      <c r="A20" s="183">
        <f t="shared" si="1"/>
        <v>19</v>
      </c>
      <c r="B20" s="184">
        <f t="shared" si="34"/>
        <v>-3</v>
      </c>
      <c r="C20" s="183">
        <f t="shared" si="2"/>
        <v>19</v>
      </c>
      <c r="E20" s="189" t="s">
        <v>556</v>
      </c>
      <c r="F20" s="190" t="s">
        <v>999</v>
      </c>
      <c r="G20" s="190" t="s">
        <v>999</v>
      </c>
      <c r="H20" s="190" t="s">
        <v>999</v>
      </c>
      <c r="I20" s="190" t="s">
        <v>999</v>
      </c>
      <c r="J20" s="190" t="s">
        <v>999</v>
      </c>
      <c r="K20" s="190" t="s">
        <v>999</v>
      </c>
      <c r="L20" s="190" t="s">
        <v>999</v>
      </c>
      <c r="M20" s="190" t="s">
        <v>999</v>
      </c>
      <c r="N20" s="190" t="s">
        <v>999</v>
      </c>
      <c r="O20" s="190" t="s">
        <v>999</v>
      </c>
      <c r="P20" s="190" t="s">
        <v>999</v>
      </c>
      <c r="Q20" s="190" t="s">
        <v>999</v>
      </c>
      <c r="R20" s="190" t="s">
        <v>999</v>
      </c>
      <c r="S20" s="190" t="s">
        <v>999</v>
      </c>
      <c r="T20" s="190" t="s">
        <v>999</v>
      </c>
      <c r="U20" s="190" t="s">
        <v>999</v>
      </c>
      <c r="V20" s="190" t="s">
        <v>999</v>
      </c>
      <c r="W20" s="190" t="s">
        <v>999</v>
      </c>
      <c r="X20" s="190" t="s">
        <v>996</v>
      </c>
      <c r="Y20" s="190" t="s">
        <v>999</v>
      </c>
      <c r="Z20" s="190"/>
      <c r="AA20" s="190" t="s">
        <v>999</v>
      </c>
      <c r="AB20" s="190" t="s">
        <v>999</v>
      </c>
      <c r="AC20" s="190" t="s">
        <v>999</v>
      </c>
      <c r="AD20" s="190" t="s">
        <v>999</v>
      </c>
      <c r="AE20" s="190"/>
      <c r="AF20" s="190" t="s">
        <v>999</v>
      </c>
      <c r="AG20" s="190" t="s">
        <v>999</v>
      </c>
      <c r="AH20" s="190" t="s">
        <v>999</v>
      </c>
      <c r="AI20" s="190"/>
      <c r="AJ20" s="190" t="s">
        <v>999</v>
      </c>
      <c r="AK20" s="190" t="s">
        <v>999</v>
      </c>
      <c r="AL20" s="190" t="s">
        <v>996</v>
      </c>
      <c r="AM20" s="190" t="s">
        <v>999</v>
      </c>
      <c r="AN20" s="190"/>
      <c r="AO20" s="190" t="s">
        <v>999</v>
      </c>
      <c r="AP20" s="190" t="s">
        <v>999</v>
      </c>
      <c r="AQ20" s="190" t="s">
        <v>999</v>
      </c>
      <c r="AR20" s="190"/>
      <c r="AS20" s="190" t="s">
        <v>999</v>
      </c>
      <c r="AT20" s="190" t="s">
        <v>999</v>
      </c>
      <c r="AU20" s="190" t="s">
        <v>999</v>
      </c>
      <c r="AV20" s="190" t="s">
        <v>999</v>
      </c>
      <c r="AW20" s="190" t="s">
        <v>999</v>
      </c>
      <c r="AX20" s="190" t="s">
        <v>999</v>
      </c>
      <c r="AY20" s="190" t="s">
        <v>999</v>
      </c>
      <c r="AZ20" s="190" t="s">
        <v>999</v>
      </c>
      <c r="BA20" s="190" t="s">
        <v>999</v>
      </c>
      <c r="BB20" s="190" t="s">
        <v>999</v>
      </c>
      <c r="BC20" s="190" t="s">
        <v>999</v>
      </c>
      <c r="BD20" s="190" t="s">
        <v>999</v>
      </c>
      <c r="BE20" s="190" t="s">
        <v>999</v>
      </c>
      <c r="BF20" s="190" t="s">
        <v>999</v>
      </c>
      <c r="BG20" s="190" t="s">
        <v>999</v>
      </c>
      <c r="BH20" s="190" t="s">
        <v>999</v>
      </c>
      <c r="BI20" s="190" t="s">
        <v>999</v>
      </c>
      <c r="BJ20" s="190" t="s">
        <v>999</v>
      </c>
      <c r="BK20" s="190" t="s">
        <v>999</v>
      </c>
      <c r="BL20" s="190" t="s">
        <v>999</v>
      </c>
      <c r="BM20" s="190" t="s">
        <v>999</v>
      </c>
      <c r="BN20" s="190" t="s">
        <v>999</v>
      </c>
      <c r="BO20" s="190" t="s">
        <v>999</v>
      </c>
      <c r="BP20" s="190" t="s">
        <v>999</v>
      </c>
      <c r="BQ20" s="190" t="s">
        <v>999</v>
      </c>
      <c r="BR20" s="190" t="s">
        <v>999</v>
      </c>
      <c r="BS20" s="190" t="s">
        <v>999</v>
      </c>
      <c r="BT20" s="190" t="s">
        <v>999</v>
      </c>
      <c r="BU20" s="190" t="s">
        <v>999</v>
      </c>
      <c r="BV20" s="190" t="s">
        <v>999</v>
      </c>
      <c r="BW20" s="190" t="s">
        <v>999</v>
      </c>
      <c r="BX20" s="190" t="s">
        <v>999</v>
      </c>
      <c r="BY20" s="190" t="s">
        <v>999</v>
      </c>
      <c r="BZ20" s="190" t="s">
        <v>999</v>
      </c>
      <c r="CA20" s="190" t="s">
        <v>999</v>
      </c>
      <c r="CB20" s="190" t="s">
        <v>999</v>
      </c>
      <c r="CC20" s="190" t="s">
        <v>999</v>
      </c>
      <c r="CD20" s="190" t="s">
        <v>999</v>
      </c>
      <c r="CE20" s="190" t="s">
        <v>999</v>
      </c>
      <c r="CF20" s="190" t="s">
        <v>999</v>
      </c>
      <c r="CG20" s="190" t="s">
        <v>999</v>
      </c>
      <c r="CH20" s="190" t="s">
        <v>999</v>
      </c>
      <c r="CI20" s="190" t="s">
        <v>999</v>
      </c>
      <c r="CJ20" s="190" t="s">
        <v>999</v>
      </c>
      <c r="CK20" s="190" t="s">
        <v>999</v>
      </c>
      <c r="CL20" s="190" t="s">
        <v>999</v>
      </c>
      <c r="CM20" s="190" t="s">
        <v>999</v>
      </c>
      <c r="CN20" s="190" t="s">
        <v>999</v>
      </c>
      <c r="CO20" s="190" t="s">
        <v>999</v>
      </c>
      <c r="CP20" s="190" t="s">
        <v>999</v>
      </c>
      <c r="CQ20" s="190" t="s">
        <v>999</v>
      </c>
      <c r="CR20" s="190"/>
      <c r="CS20" s="190" t="s">
        <v>999</v>
      </c>
      <c r="CT20" s="190" t="s">
        <v>999</v>
      </c>
      <c r="CU20" s="190" t="s">
        <v>996</v>
      </c>
      <c r="CV20" s="190" t="s">
        <v>999</v>
      </c>
      <c r="CW20" s="190"/>
      <c r="CX20" s="190" t="s">
        <v>999</v>
      </c>
      <c r="CY20" s="190" t="s">
        <v>999</v>
      </c>
      <c r="CZ20" s="190" t="s">
        <v>999</v>
      </c>
      <c r="DA20" s="190" t="s">
        <v>999</v>
      </c>
      <c r="DB20" s="190" t="s">
        <v>999</v>
      </c>
      <c r="DC20" s="190" t="s">
        <v>999</v>
      </c>
      <c r="DD20" s="190" t="s">
        <v>999</v>
      </c>
      <c r="DE20" s="190"/>
      <c r="DF20" s="174">
        <v>19</v>
      </c>
      <c r="DH20" s="268" t="s">
        <v>905</v>
      </c>
      <c r="DI20" s="268" t="s">
        <v>4371</v>
      </c>
      <c r="DJ20" s="268">
        <v>8</v>
      </c>
      <c r="DK20" s="268">
        <v>6</v>
      </c>
      <c r="DL20" s="268">
        <v>-4</v>
      </c>
      <c r="DM20" s="268"/>
      <c r="DN20" s="268"/>
      <c r="DO20" s="268">
        <v>-4</v>
      </c>
      <c r="DP20" s="268">
        <v>4</v>
      </c>
      <c r="DQ20" s="268">
        <v>-6</v>
      </c>
      <c r="DR20" s="268"/>
      <c r="DS20" s="268"/>
      <c r="DT20" s="268">
        <v>25</v>
      </c>
      <c r="DU20" s="268">
        <v>10</v>
      </c>
      <c r="DV20" s="268">
        <v>20</v>
      </c>
      <c r="DW20" s="268">
        <v>50</v>
      </c>
      <c r="DX20" s="268">
        <v>15</v>
      </c>
      <c r="DY20" s="268">
        <v>1</v>
      </c>
      <c r="DZ20" s="268">
        <v>5</v>
      </c>
      <c r="EA20" s="268">
        <v>0.5</v>
      </c>
      <c r="EB20" s="268">
        <v>50</v>
      </c>
      <c r="EC20" s="174">
        <f t="shared" si="6"/>
        <v>4</v>
      </c>
      <c r="ED20" s="268" t="s">
        <v>1058</v>
      </c>
      <c r="EE20" s="174">
        <v>6432</v>
      </c>
      <c r="EF20" s="174">
        <v>6543</v>
      </c>
      <c r="EG20" s="174">
        <v>6432</v>
      </c>
      <c r="EH20" s="174">
        <v>6432</v>
      </c>
      <c r="EI20" s="174">
        <v>6432</v>
      </c>
      <c r="EJ20" s="174">
        <v>6432</v>
      </c>
      <c r="EK20" s="174">
        <v>6432</v>
      </c>
      <c r="EL20" s="174">
        <v>7521</v>
      </c>
      <c r="EN20" s="182" t="s">
        <v>1044</v>
      </c>
      <c r="EO20" s="174">
        <v>3</v>
      </c>
      <c r="EP20" s="174">
        <v>3</v>
      </c>
      <c r="EQ20" s="174">
        <v>3</v>
      </c>
      <c r="ER20" s="174">
        <v>3</v>
      </c>
      <c r="ES20" s="174">
        <v>3</v>
      </c>
      <c r="ET20" s="174">
        <v>3</v>
      </c>
      <c r="EU20" s="174">
        <v>3</v>
      </c>
      <c r="EV20" s="174">
        <v>3</v>
      </c>
      <c r="EW20" s="174">
        <v>3</v>
      </c>
      <c r="EX20" s="174">
        <v>3</v>
      </c>
      <c r="EY20" s="174">
        <v>3</v>
      </c>
      <c r="EZ20" s="174">
        <v>3</v>
      </c>
      <c r="FA20" s="174">
        <v>3</v>
      </c>
      <c r="FB20" s="174">
        <v>3</v>
      </c>
      <c r="FC20" s="174">
        <v>3</v>
      </c>
      <c r="FD20" s="174">
        <v>3</v>
      </c>
      <c r="FE20" s="174">
        <v>3</v>
      </c>
      <c r="FF20" s="174">
        <v>3</v>
      </c>
      <c r="FG20" s="174">
        <v>3</v>
      </c>
      <c r="FH20" s="174">
        <v>3</v>
      </c>
      <c r="FI20" s="174">
        <v>3</v>
      </c>
      <c r="FJ20" s="174">
        <v>3</v>
      </c>
      <c r="FK20" s="174">
        <v>3</v>
      </c>
      <c r="FL20" s="174">
        <v>3</v>
      </c>
      <c r="FM20" s="174">
        <v>3</v>
      </c>
      <c r="FN20" s="174">
        <v>6</v>
      </c>
      <c r="FO20" s="174">
        <v>3</v>
      </c>
      <c r="FP20" s="174">
        <v>8</v>
      </c>
      <c r="FQ20" s="174">
        <v>3</v>
      </c>
      <c r="FR20" s="174">
        <v>2</v>
      </c>
      <c r="FS20" s="174">
        <v>3</v>
      </c>
      <c r="FT20" s="174">
        <v>3</v>
      </c>
      <c r="FU20" s="174">
        <v>3</v>
      </c>
      <c r="FV20" s="174">
        <v>3</v>
      </c>
      <c r="FW20" s="174">
        <v>3</v>
      </c>
      <c r="FX20" s="174">
        <v>3</v>
      </c>
      <c r="FY20" s="174">
        <v>1</v>
      </c>
      <c r="FZ20" s="174">
        <v>2</v>
      </c>
      <c r="HA20" s="174">
        <v>19</v>
      </c>
      <c r="HB20" s="197">
        <v>17</v>
      </c>
      <c r="HC20" s="183">
        <v>27</v>
      </c>
      <c r="HD20" s="183">
        <v>44</v>
      </c>
      <c r="HE20" s="183">
        <v>17</v>
      </c>
      <c r="HF20" s="183">
        <v>71</v>
      </c>
      <c r="HG20" s="193">
        <f t="shared" si="3"/>
        <v>71</v>
      </c>
      <c r="HH20" s="192" t="e">
        <f t="shared" si="7"/>
        <v>#REF!</v>
      </c>
      <c r="HI20" s="198">
        <v>17</v>
      </c>
      <c r="HJ20" s="185">
        <v>71</v>
      </c>
      <c r="HK20" s="174">
        <v>18</v>
      </c>
      <c r="HL20" s="174">
        <f t="shared" si="35"/>
        <v>128</v>
      </c>
      <c r="HM20" s="174">
        <f t="shared" si="36"/>
        <v>118</v>
      </c>
      <c r="HN20" s="174">
        <f t="shared" si="37"/>
        <v>110</v>
      </c>
      <c r="HO20" s="174">
        <f t="shared" si="38"/>
        <v>110</v>
      </c>
      <c r="HP20" s="174">
        <f t="shared" si="39"/>
        <v>110</v>
      </c>
      <c r="HQ20" s="174">
        <f t="shared" si="40"/>
        <v>110</v>
      </c>
      <c r="HR20" s="174">
        <f t="shared" si="41"/>
        <v>102</v>
      </c>
      <c r="HS20" s="174">
        <f t="shared" si="42"/>
        <v>102</v>
      </c>
      <c r="HT20" s="174">
        <f t="shared" si="43"/>
        <v>94</v>
      </c>
      <c r="HU20" s="174">
        <f t="shared" si="44"/>
        <v>100</v>
      </c>
      <c r="HV20" s="174">
        <f t="shared" si="45"/>
        <v>100</v>
      </c>
      <c r="HW20" s="174">
        <f t="shared" si="46"/>
        <v>100</v>
      </c>
      <c r="HX20" s="174">
        <f t="shared" si="47"/>
        <v>92</v>
      </c>
      <c r="HY20" s="174">
        <f t="shared" si="48"/>
        <v>92</v>
      </c>
      <c r="HZ20" s="174">
        <f t="shared" si="49"/>
        <v>84</v>
      </c>
      <c r="IA20" s="174">
        <f t="shared" si="50"/>
        <v>84</v>
      </c>
      <c r="IB20" s="174">
        <f t="shared" si="51"/>
        <v>82</v>
      </c>
      <c r="IC20" s="174">
        <f t="shared" si="52"/>
        <v>74</v>
      </c>
      <c r="ID20" s="174">
        <f t="shared" si="53"/>
        <v>74</v>
      </c>
      <c r="IE20" s="174">
        <f t="shared" si="54"/>
        <v>64</v>
      </c>
      <c r="IF20" s="174">
        <f t="shared" si="55"/>
        <v>64</v>
      </c>
      <c r="IG20" s="174">
        <f t="shared" si="56"/>
        <v>46</v>
      </c>
      <c r="IH20" s="174">
        <f t="shared" si="57"/>
        <v>46</v>
      </c>
      <c r="II20" s="174">
        <f t="shared" si="58"/>
        <v>28</v>
      </c>
      <c r="IJ20" s="174">
        <v>20</v>
      </c>
      <c r="IN20" s="174">
        <f>Skills!K336</f>
        <v>3.4901900000000001</v>
      </c>
      <c r="IO20" s="174" t="str">
        <f>Skills!B336</f>
        <v>Thrown</v>
      </c>
      <c r="IR20" s="174">
        <v>420000</v>
      </c>
      <c r="IS20" s="174">
        <v>18</v>
      </c>
    </row>
    <row r="21" spans="1:253" ht="13.35" customHeight="1" x14ac:dyDescent="0.2">
      <c r="A21" s="183">
        <f t="shared" si="1"/>
        <v>20</v>
      </c>
      <c r="B21" s="184">
        <f t="shared" si="34"/>
        <v>-3</v>
      </c>
      <c r="C21" s="183">
        <f t="shared" si="2"/>
        <v>20</v>
      </c>
      <c r="E21" s="189" t="s">
        <v>569</v>
      </c>
      <c r="F21" s="190" t="s">
        <v>1002</v>
      </c>
      <c r="G21" s="190" t="s">
        <v>1004</v>
      </c>
      <c r="H21" s="190" t="s">
        <v>1005</v>
      </c>
      <c r="I21" s="190" t="s">
        <v>1002</v>
      </c>
      <c r="J21" s="190" t="s">
        <v>1009</v>
      </c>
      <c r="K21" s="190" t="s">
        <v>994</v>
      </c>
      <c r="L21" s="190" t="s">
        <v>994</v>
      </c>
      <c r="M21" s="190" t="s">
        <v>992</v>
      </c>
      <c r="N21" s="190" t="s">
        <v>991</v>
      </c>
      <c r="O21" s="190" t="s">
        <v>992</v>
      </c>
      <c r="P21" s="190" t="s">
        <v>991</v>
      </c>
      <c r="Q21" s="190" t="s">
        <v>991</v>
      </c>
      <c r="R21" s="190" t="s">
        <v>991</v>
      </c>
      <c r="S21" s="190" t="s">
        <v>991</v>
      </c>
      <c r="T21" s="190" t="s">
        <v>995</v>
      </c>
      <c r="U21" s="190" t="s">
        <v>995</v>
      </c>
      <c r="V21" s="190" t="s">
        <v>1001</v>
      </c>
      <c r="W21" s="190" t="s">
        <v>995</v>
      </c>
      <c r="X21" s="190" t="s">
        <v>994</v>
      </c>
      <c r="Y21" s="190" t="s">
        <v>1001</v>
      </c>
      <c r="Z21" s="190"/>
      <c r="AA21" s="190" t="s">
        <v>994</v>
      </c>
      <c r="AB21" s="190" t="s">
        <v>994</v>
      </c>
      <c r="AC21" s="190" t="s">
        <v>1010</v>
      </c>
      <c r="AD21" s="190" t="s">
        <v>992</v>
      </c>
      <c r="AE21" s="190"/>
      <c r="AF21" s="190" t="s">
        <v>999</v>
      </c>
      <c r="AG21" s="190" t="s">
        <v>994</v>
      </c>
      <c r="AH21" s="190" t="s">
        <v>995</v>
      </c>
      <c r="AI21" s="190"/>
      <c r="AJ21" s="190" t="s">
        <v>1007</v>
      </c>
      <c r="AK21" s="190" t="s">
        <v>991</v>
      </c>
      <c r="AL21" s="190" t="s">
        <v>993</v>
      </c>
      <c r="AM21" s="190" t="s">
        <v>991</v>
      </c>
      <c r="AN21" s="190"/>
      <c r="AO21" s="190" t="s">
        <v>992</v>
      </c>
      <c r="AP21" s="190" t="s">
        <v>991</v>
      </c>
      <c r="AQ21" s="190" t="s">
        <v>1001</v>
      </c>
      <c r="AR21" s="190"/>
      <c r="AS21" s="190" t="s">
        <v>992</v>
      </c>
      <c r="AT21" s="190" t="s">
        <v>992</v>
      </c>
      <c r="AU21" s="190" t="s">
        <v>992</v>
      </c>
      <c r="AV21" s="190" t="s">
        <v>992</v>
      </c>
      <c r="AW21" s="190" t="s">
        <v>992</v>
      </c>
      <c r="AX21" s="190" t="s">
        <v>992</v>
      </c>
      <c r="AY21" s="190" t="s">
        <v>992</v>
      </c>
      <c r="AZ21" s="190" t="s">
        <v>992</v>
      </c>
      <c r="BA21" s="190" t="s">
        <v>992</v>
      </c>
      <c r="BB21" s="190" t="s">
        <v>992</v>
      </c>
      <c r="BC21" s="190" t="s">
        <v>992</v>
      </c>
      <c r="BD21" s="190" t="s">
        <v>992</v>
      </c>
      <c r="BE21" s="190" t="s">
        <v>992</v>
      </c>
      <c r="BF21" s="190" t="s">
        <v>992</v>
      </c>
      <c r="BG21" s="190" t="s">
        <v>992</v>
      </c>
      <c r="BH21" s="190" t="s">
        <v>992</v>
      </c>
      <c r="BI21" s="190" t="s">
        <v>992</v>
      </c>
      <c r="BJ21" s="190" t="s">
        <v>992</v>
      </c>
      <c r="BK21" s="190" t="s">
        <v>992</v>
      </c>
      <c r="BL21" s="190" t="s">
        <v>992</v>
      </c>
      <c r="BM21" s="190" t="s">
        <v>992</v>
      </c>
      <c r="BN21" s="190" t="s">
        <v>992</v>
      </c>
      <c r="BO21" s="190" t="s">
        <v>992</v>
      </c>
      <c r="BP21" s="190" t="s">
        <v>992</v>
      </c>
      <c r="BQ21" s="190" t="s">
        <v>992</v>
      </c>
      <c r="BR21" s="190" t="s">
        <v>992</v>
      </c>
      <c r="BS21" s="190" t="s">
        <v>992</v>
      </c>
      <c r="BT21" s="190" t="s">
        <v>992</v>
      </c>
      <c r="BU21" s="190" t="s">
        <v>992</v>
      </c>
      <c r="BV21" s="190" t="s">
        <v>992</v>
      </c>
      <c r="BW21" s="190" t="s">
        <v>992</v>
      </c>
      <c r="BX21" s="190" t="s">
        <v>992</v>
      </c>
      <c r="BY21" s="190" t="s">
        <v>992</v>
      </c>
      <c r="BZ21" s="190" t="s">
        <v>992</v>
      </c>
      <c r="CA21" s="190" t="s">
        <v>992</v>
      </c>
      <c r="CB21" s="190" t="s">
        <v>992</v>
      </c>
      <c r="CC21" s="190" t="s">
        <v>992</v>
      </c>
      <c r="CD21" s="190" t="s">
        <v>992</v>
      </c>
      <c r="CE21" s="190" t="s">
        <v>992</v>
      </c>
      <c r="CF21" s="190" t="s">
        <v>992</v>
      </c>
      <c r="CG21" s="190" t="s">
        <v>992</v>
      </c>
      <c r="CH21" s="190" t="s">
        <v>992</v>
      </c>
      <c r="CI21" s="190" t="s">
        <v>992</v>
      </c>
      <c r="CJ21" s="190" t="s">
        <v>992</v>
      </c>
      <c r="CK21" s="190" t="s">
        <v>992</v>
      </c>
      <c r="CL21" s="190" t="s">
        <v>992</v>
      </c>
      <c r="CM21" s="190" t="s">
        <v>992</v>
      </c>
      <c r="CN21" s="190" t="s">
        <v>992</v>
      </c>
      <c r="CO21" s="190" t="s">
        <v>992</v>
      </c>
      <c r="CP21" s="190" t="s">
        <v>992</v>
      </c>
      <c r="CQ21" s="190" t="s">
        <v>992</v>
      </c>
      <c r="CR21" s="190"/>
      <c r="CS21" s="190" t="s">
        <v>1002</v>
      </c>
      <c r="CT21" s="190" t="s">
        <v>1005</v>
      </c>
      <c r="CU21" s="190" t="s">
        <v>991</v>
      </c>
      <c r="CV21" s="190" t="s">
        <v>1005</v>
      </c>
      <c r="CW21" s="190"/>
      <c r="CX21" s="190" t="s">
        <v>1001</v>
      </c>
      <c r="CY21" s="190" t="s">
        <v>992</v>
      </c>
      <c r="CZ21" s="190" t="s">
        <v>991</v>
      </c>
      <c r="DA21" s="190" t="s">
        <v>1002</v>
      </c>
      <c r="DB21" s="190" t="s">
        <v>994</v>
      </c>
      <c r="DC21" s="190" t="s">
        <v>992</v>
      </c>
      <c r="DD21" s="190" t="s">
        <v>992</v>
      </c>
      <c r="DE21" s="190"/>
      <c r="DF21" s="174">
        <v>20</v>
      </c>
      <c r="DH21" s="268" t="s">
        <v>4186</v>
      </c>
      <c r="DI21" s="268" t="s">
        <v>4269</v>
      </c>
      <c r="DJ21" s="268"/>
      <c r="DK21" s="268"/>
      <c r="DL21" s="268">
        <v>2</v>
      </c>
      <c r="DM21" s="268"/>
      <c r="DN21" s="268"/>
      <c r="DO21" s="268">
        <v>2</v>
      </c>
      <c r="DP21" s="268"/>
      <c r="DQ21" s="268"/>
      <c r="DR21" s="268"/>
      <c r="DS21" s="268"/>
      <c r="DT21" s="268"/>
      <c r="DU21" s="268"/>
      <c r="DV21" s="268"/>
      <c r="DW21" s="268"/>
      <c r="DX21" s="268"/>
      <c r="DY21" s="268">
        <v>1</v>
      </c>
      <c r="DZ21" s="268">
        <v>6</v>
      </c>
      <c r="EA21" s="268">
        <v>1</v>
      </c>
      <c r="EB21" s="268">
        <v>60</v>
      </c>
      <c r="EC21" s="174">
        <f t="shared" si="6"/>
        <v>4</v>
      </c>
      <c r="ED21" s="268" t="s">
        <v>4200</v>
      </c>
      <c r="EE21" s="174">
        <v>6543</v>
      </c>
      <c r="EF21" s="174">
        <v>6543</v>
      </c>
      <c r="EG21" s="174">
        <v>7654</v>
      </c>
      <c r="EH21" s="174">
        <v>6543</v>
      </c>
      <c r="EI21" s="174">
        <v>6543</v>
      </c>
      <c r="EJ21" s="174">
        <v>6543</v>
      </c>
      <c r="EK21" s="174">
        <v>6543</v>
      </c>
      <c r="EL21" s="174">
        <v>6521</v>
      </c>
      <c r="EN21" s="174" t="s">
        <v>1046</v>
      </c>
      <c r="EO21" s="174">
        <v>3</v>
      </c>
      <c r="EP21" s="174">
        <v>3</v>
      </c>
      <c r="EQ21" s="174">
        <v>3</v>
      </c>
      <c r="ER21" s="174">
        <v>3</v>
      </c>
      <c r="ES21" s="174">
        <v>3</v>
      </c>
      <c r="ET21" s="174">
        <v>3</v>
      </c>
      <c r="EU21" s="174">
        <v>3</v>
      </c>
      <c r="EV21" s="174">
        <v>3</v>
      </c>
      <c r="EW21" s="174">
        <v>3</v>
      </c>
      <c r="EX21" s="174">
        <v>3</v>
      </c>
      <c r="EY21" s="174">
        <v>3</v>
      </c>
      <c r="EZ21" s="174">
        <v>3</v>
      </c>
      <c r="FA21" s="174">
        <v>3</v>
      </c>
      <c r="FB21" s="174">
        <v>3</v>
      </c>
      <c r="FC21" s="174">
        <v>3</v>
      </c>
      <c r="FD21" s="174">
        <v>3</v>
      </c>
      <c r="FE21" s="174">
        <v>3</v>
      </c>
      <c r="FF21" s="174">
        <v>3</v>
      </c>
      <c r="FG21" s="174">
        <v>3</v>
      </c>
      <c r="FH21" s="174">
        <v>3</v>
      </c>
      <c r="FI21" s="174">
        <v>3</v>
      </c>
      <c r="FJ21" s="174">
        <v>3</v>
      </c>
      <c r="FK21" s="174">
        <v>3</v>
      </c>
      <c r="FL21" s="174">
        <v>3</v>
      </c>
      <c r="FM21" s="174">
        <v>3</v>
      </c>
      <c r="FN21" s="174">
        <v>3</v>
      </c>
      <c r="FO21" s="174">
        <v>3</v>
      </c>
      <c r="FP21" s="174">
        <v>3</v>
      </c>
      <c r="FQ21" s="174">
        <v>3</v>
      </c>
      <c r="FR21" s="174">
        <v>2</v>
      </c>
      <c r="FS21" s="174">
        <v>3</v>
      </c>
      <c r="FT21" s="174">
        <v>3</v>
      </c>
      <c r="FU21" s="174">
        <v>3</v>
      </c>
      <c r="FV21" s="174">
        <v>3</v>
      </c>
      <c r="FW21" s="174">
        <v>3</v>
      </c>
      <c r="FX21" s="174">
        <v>3</v>
      </c>
      <c r="FY21" s="174">
        <v>3</v>
      </c>
      <c r="FZ21" s="174">
        <v>3</v>
      </c>
      <c r="HA21" s="174">
        <v>20</v>
      </c>
      <c r="HB21" s="197">
        <v>18</v>
      </c>
      <c r="HC21" s="183">
        <v>28</v>
      </c>
      <c r="HD21" s="183">
        <v>46</v>
      </c>
      <c r="HE21" s="183">
        <v>18</v>
      </c>
      <c r="HF21" s="183">
        <v>74</v>
      </c>
      <c r="HG21" s="193">
        <f t="shared" si="3"/>
        <v>74</v>
      </c>
      <c r="HH21" s="192" t="e">
        <f t="shared" si="7"/>
        <v>#REF!</v>
      </c>
      <c r="HI21" s="198">
        <v>18</v>
      </c>
      <c r="HJ21" s="185">
        <v>74</v>
      </c>
      <c r="HK21" s="174">
        <v>19</v>
      </c>
      <c r="HL21" s="174">
        <f t="shared" si="35"/>
        <v>134</v>
      </c>
      <c r="HM21" s="174">
        <f t="shared" si="36"/>
        <v>124</v>
      </c>
      <c r="HN21" s="174">
        <f t="shared" si="37"/>
        <v>115</v>
      </c>
      <c r="HO21" s="174">
        <f t="shared" si="38"/>
        <v>115</v>
      </c>
      <c r="HP21" s="174">
        <f t="shared" si="39"/>
        <v>115</v>
      </c>
      <c r="HQ21" s="174">
        <f t="shared" si="40"/>
        <v>115</v>
      </c>
      <c r="HR21" s="174">
        <f t="shared" si="41"/>
        <v>106</v>
      </c>
      <c r="HS21" s="174">
        <f t="shared" si="42"/>
        <v>106</v>
      </c>
      <c r="HT21" s="174">
        <f t="shared" si="43"/>
        <v>97</v>
      </c>
      <c r="HU21" s="174">
        <f t="shared" si="44"/>
        <v>105</v>
      </c>
      <c r="HV21" s="174">
        <f t="shared" si="45"/>
        <v>105</v>
      </c>
      <c r="HW21" s="174">
        <f t="shared" si="46"/>
        <v>105</v>
      </c>
      <c r="HX21" s="174">
        <f t="shared" si="47"/>
        <v>96</v>
      </c>
      <c r="HY21" s="174">
        <f t="shared" si="48"/>
        <v>96</v>
      </c>
      <c r="HZ21" s="174">
        <f t="shared" si="49"/>
        <v>87</v>
      </c>
      <c r="IA21" s="174">
        <f t="shared" si="50"/>
        <v>87</v>
      </c>
      <c r="IB21" s="174">
        <f t="shared" si="51"/>
        <v>86</v>
      </c>
      <c r="IC21" s="174">
        <f t="shared" si="52"/>
        <v>77</v>
      </c>
      <c r="ID21" s="174">
        <f t="shared" si="53"/>
        <v>77</v>
      </c>
      <c r="IE21" s="174">
        <f t="shared" si="54"/>
        <v>67</v>
      </c>
      <c r="IF21" s="174">
        <f t="shared" si="55"/>
        <v>67</v>
      </c>
      <c r="IG21" s="174">
        <f t="shared" si="56"/>
        <v>48</v>
      </c>
      <c r="IH21" s="174">
        <f t="shared" si="57"/>
        <v>48</v>
      </c>
      <c r="II21" s="174">
        <f t="shared" si="58"/>
        <v>29</v>
      </c>
      <c r="IJ21" s="174">
        <v>21</v>
      </c>
      <c r="IN21" s="174">
        <f>Skills!K130</f>
        <v>-3.01</v>
      </c>
      <c r="IO21" s="174" t="str">
        <f>Skills!B130</f>
        <v>Directed Spell (per spell)</v>
      </c>
      <c r="IR21" s="174">
        <v>460000</v>
      </c>
      <c r="IS21" s="174">
        <v>19</v>
      </c>
    </row>
    <row r="22" spans="1:253" ht="13.35" customHeight="1" x14ac:dyDescent="0.2">
      <c r="A22" s="183">
        <f t="shared" si="1"/>
        <v>21</v>
      </c>
      <c r="B22" s="184">
        <f t="shared" si="34"/>
        <v>-2</v>
      </c>
      <c r="C22" s="183">
        <f t="shared" si="2"/>
        <v>21</v>
      </c>
      <c r="E22" s="189" t="s">
        <v>574</v>
      </c>
      <c r="F22" s="190" t="s">
        <v>1006</v>
      </c>
      <c r="G22" s="190" t="s">
        <v>1006</v>
      </c>
      <c r="H22" s="190" t="s">
        <v>1010</v>
      </c>
      <c r="I22" s="190" t="s">
        <v>1010</v>
      </c>
      <c r="J22" s="190" t="s">
        <v>1006</v>
      </c>
      <c r="K22" s="190" t="s">
        <v>1006</v>
      </c>
      <c r="L22" s="190" t="s">
        <v>1006</v>
      </c>
      <c r="M22" s="190" t="s">
        <v>1006</v>
      </c>
      <c r="N22" s="190" t="s">
        <v>1006</v>
      </c>
      <c r="O22" s="190" t="s">
        <v>1006</v>
      </c>
      <c r="P22" s="190" t="s">
        <v>1006</v>
      </c>
      <c r="Q22" s="190" t="s">
        <v>1006</v>
      </c>
      <c r="R22" s="190" t="s">
        <v>1006</v>
      </c>
      <c r="S22" s="190" t="s">
        <v>1006</v>
      </c>
      <c r="T22" s="190" t="s">
        <v>1006</v>
      </c>
      <c r="U22" s="190" t="s">
        <v>1006</v>
      </c>
      <c r="V22" s="190" t="s">
        <v>1006</v>
      </c>
      <c r="W22" s="190" t="s">
        <v>1006</v>
      </c>
      <c r="X22" s="190" t="s">
        <v>992</v>
      </c>
      <c r="Y22" s="190" t="s">
        <v>1006</v>
      </c>
      <c r="Z22" s="190"/>
      <c r="AA22" s="190" t="s">
        <v>1001</v>
      </c>
      <c r="AB22" s="190" t="s">
        <v>1001</v>
      </c>
      <c r="AC22" s="190" t="s">
        <v>1006</v>
      </c>
      <c r="AD22" s="190" t="s">
        <v>1006</v>
      </c>
      <c r="AE22" s="190"/>
      <c r="AF22" s="190" t="s">
        <v>1006</v>
      </c>
      <c r="AG22" s="190" t="s">
        <v>1047</v>
      </c>
      <c r="AH22" s="190" t="s">
        <v>1006</v>
      </c>
      <c r="AI22" s="190"/>
      <c r="AJ22" s="190" t="s">
        <v>1007</v>
      </c>
      <c r="AK22" s="190" t="s">
        <v>1006</v>
      </c>
      <c r="AL22" s="190" t="s">
        <v>991</v>
      </c>
      <c r="AM22" s="190" t="s">
        <v>1010</v>
      </c>
      <c r="AN22" s="190"/>
      <c r="AO22" s="190" t="s">
        <v>1047</v>
      </c>
      <c r="AP22" s="190" t="s">
        <v>1006</v>
      </c>
      <c r="AQ22" s="190" t="s">
        <v>1006</v>
      </c>
      <c r="AR22" s="190"/>
      <c r="AS22" s="190" t="s">
        <v>991</v>
      </c>
      <c r="AT22" s="190" t="s">
        <v>991</v>
      </c>
      <c r="AU22" s="190" t="s">
        <v>991</v>
      </c>
      <c r="AV22" s="190" t="s">
        <v>991</v>
      </c>
      <c r="AW22" s="190" t="s">
        <v>991</v>
      </c>
      <c r="AX22" s="190" t="s">
        <v>991</v>
      </c>
      <c r="AY22" s="190" t="s">
        <v>991</v>
      </c>
      <c r="AZ22" s="190" t="s">
        <v>991</v>
      </c>
      <c r="BA22" s="190" t="s">
        <v>991</v>
      </c>
      <c r="BB22" s="190" t="s">
        <v>991</v>
      </c>
      <c r="BC22" s="190" t="s">
        <v>991</v>
      </c>
      <c r="BD22" s="190" t="s">
        <v>991</v>
      </c>
      <c r="BE22" s="190" t="s">
        <v>991</v>
      </c>
      <c r="BF22" s="190" t="s">
        <v>991</v>
      </c>
      <c r="BG22" s="190" t="s">
        <v>991</v>
      </c>
      <c r="BH22" s="190" t="s">
        <v>991</v>
      </c>
      <c r="BI22" s="190" t="s">
        <v>991</v>
      </c>
      <c r="BJ22" s="190" t="s">
        <v>991</v>
      </c>
      <c r="BK22" s="190" t="s">
        <v>991</v>
      </c>
      <c r="BL22" s="190" t="s">
        <v>991</v>
      </c>
      <c r="BM22" s="190" t="s">
        <v>991</v>
      </c>
      <c r="BN22" s="190" t="s">
        <v>991</v>
      </c>
      <c r="BO22" s="190" t="s">
        <v>991</v>
      </c>
      <c r="BP22" s="190" t="s">
        <v>991</v>
      </c>
      <c r="BQ22" s="190" t="s">
        <v>991</v>
      </c>
      <c r="BR22" s="190" t="s">
        <v>991</v>
      </c>
      <c r="BS22" s="190" t="s">
        <v>991</v>
      </c>
      <c r="BT22" s="190" t="s">
        <v>991</v>
      </c>
      <c r="BU22" s="190" t="s">
        <v>991</v>
      </c>
      <c r="BV22" s="190" t="s">
        <v>991</v>
      </c>
      <c r="BW22" s="190" t="s">
        <v>991</v>
      </c>
      <c r="BX22" s="190" t="s">
        <v>991</v>
      </c>
      <c r="BY22" s="190" t="s">
        <v>991</v>
      </c>
      <c r="BZ22" s="190" t="s">
        <v>991</v>
      </c>
      <c r="CA22" s="190" t="s">
        <v>991</v>
      </c>
      <c r="CB22" s="190" t="s">
        <v>991</v>
      </c>
      <c r="CC22" s="190" t="s">
        <v>991</v>
      </c>
      <c r="CD22" s="190" t="s">
        <v>991</v>
      </c>
      <c r="CE22" s="190" t="s">
        <v>991</v>
      </c>
      <c r="CF22" s="190" t="s">
        <v>991</v>
      </c>
      <c r="CG22" s="190" t="s">
        <v>991</v>
      </c>
      <c r="CH22" s="190" t="s">
        <v>991</v>
      </c>
      <c r="CI22" s="190" t="s">
        <v>991</v>
      </c>
      <c r="CJ22" s="190" t="s">
        <v>991</v>
      </c>
      <c r="CK22" s="190" t="s">
        <v>991</v>
      </c>
      <c r="CL22" s="190" t="s">
        <v>991</v>
      </c>
      <c r="CM22" s="190" t="s">
        <v>991</v>
      </c>
      <c r="CN22" s="190" t="s">
        <v>991</v>
      </c>
      <c r="CO22" s="190" t="s">
        <v>991</v>
      </c>
      <c r="CP22" s="190" t="s">
        <v>991</v>
      </c>
      <c r="CQ22" s="190" t="s">
        <v>991</v>
      </c>
      <c r="CR22" s="190"/>
      <c r="CS22" s="190" t="s">
        <v>1006</v>
      </c>
      <c r="CT22" s="190" t="s">
        <v>1006</v>
      </c>
      <c r="CU22" s="190" t="s">
        <v>992</v>
      </c>
      <c r="CV22" s="190" t="s">
        <v>1010</v>
      </c>
      <c r="CW22" s="190"/>
      <c r="CX22" s="190" t="s">
        <v>1006</v>
      </c>
      <c r="CY22" s="190" t="s">
        <v>1006</v>
      </c>
      <c r="CZ22" s="190" t="s">
        <v>1006</v>
      </c>
      <c r="DA22" s="190" t="s">
        <v>1006</v>
      </c>
      <c r="DB22" s="190" t="s">
        <v>1006</v>
      </c>
      <c r="DC22" s="190" t="s">
        <v>1006</v>
      </c>
      <c r="DD22" s="190" t="s">
        <v>1006</v>
      </c>
      <c r="DE22" s="190"/>
      <c r="DF22" s="174">
        <v>21</v>
      </c>
      <c r="DH22" s="268" t="s">
        <v>4186</v>
      </c>
      <c r="DI22" s="268" t="s">
        <v>4197</v>
      </c>
      <c r="DJ22" s="268"/>
      <c r="DK22" s="268"/>
      <c r="DL22" s="268">
        <v>2</v>
      </c>
      <c r="DM22" s="268"/>
      <c r="DN22" s="268"/>
      <c r="DO22" s="268">
        <v>2</v>
      </c>
      <c r="DP22" s="268"/>
      <c r="DQ22" s="268">
        <v>-2</v>
      </c>
      <c r="DR22" s="268">
        <v>2</v>
      </c>
      <c r="DS22" s="268"/>
      <c r="DT22" s="268"/>
      <c r="DU22" s="268"/>
      <c r="DV22" s="268"/>
      <c r="DW22" s="268"/>
      <c r="DX22" s="268"/>
      <c r="DY22" s="268">
        <v>1</v>
      </c>
      <c r="DZ22" s="268">
        <v>6</v>
      </c>
      <c r="EA22" s="268">
        <v>1</v>
      </c>
      <c r="EB22" s="268">
        <v>55</v>
      </c>
      <c r="EC22" s="174">
        <f t="shared" si="6"/>
        <v>4</v>
      </c>
      <c r="ED22" s="268" t="s">
        <v>4359</v>
      </c>
      <c r="EE22" s="174">
        <v>3211</v>
      </c>
      <c r="EF22" s="174">
        <v>6543</v>
      </c>
      <c r="EG22" s="174">
        <v>3211</v>
      </c>
      <c r="EH22" s="174">
        <v>4322</v>
      </c>
      <c r="EI22" s="174">
        <v>2111</v>
      </c>
      <c r="EJ22" s="174">
        <v>4322</v>
      </c>
      <c r="EK22" s="174">
        <v>2111</v>
      </c>
      <c r="EL22" s="174">
        <v>7532</v>
      </c>
      <c r="EN22" s="174" t="s">
        <v>1048</v>
      </c>
      <c r="EO22" s="174">
        <v>3</v>
      </c>
      <c r="EP22" s="174">
        <v>3</v>
      </c>
      <c r="EQ22" s="174">
        <v>3</v>
      </c>
      <c r="ER22" s="174">
        <v>3</v>
      </c>
      <c r="ES22" s="174">
        <v>3</v>
      </c>
      <c r="ET22" s="174">
        <v>3</v>
      </c>
      <c r="EU22" s="174">
        <v>3</v>
      </c>
      <c r="EV22" s="174">
        <v>3</v>
      </c>
      <c r="EW22" s="174">
        <v>3</v>
      </c>
      <c r="EX22" s="174">
        <v>3</v>
      </c>
      <c r="EY22" s="174">
        <v>3</v>
      </c>
      <c r="EZ22" s="174">
        <v>3</v>
      </c>
      <c r="FA22" s="174">
        <v>3</v>
      </c>
      <c r="FB22" s="174">
        <v>3</v>
      </c>
      <c r="FC22" s="174">
        <v>3</v>
      </c>
      <c r="FD22" s="174">
        <v>3</v>
      </c>
      <c r="FE22" s="174">
        <v>3</v>
      </c>
      <c r="FF22" s="174">
        <v>3</v>
      </c>
      <c r="FG22" s="174">
        <v>3</v>
      </c>
      <c r="FH22" s="174">
        <v>3</v>
      </c>
      <c r="FI22" s="174">
        <v>3</v>
      </c>
      <c r="FJ22" s="174">
        <v>3</v>
      </c>
      <c r="FK22" s="174">
        <v>3</v>
      </c>
      <c r="FL22" s="174">
        <v>3</v>
      </c>
      <c r="FM22" s="174">
        <v>3</v>
      </c>
      <c r="FN22" s="174">
        <v>3</v>
      </c>
      <c r="FO22" s="174">
        <v>3</v>
      </c>
      <c r="FP22" s="174">
        <v>3</v>
      </c>
      <c r="FQ22" s="174">
        <v>3</v>
      </c>
      <c r="FR22" s="174">
        <v>2</v>
      </c>
      <c r="FS22" s="174">
        <v>3</v>
      </c>
      <c r="FT22" s="174">
        <v>3</v>
      </c>
      <c r="FU22" s="174">
        <v>3</v>
      </c>
      <c r="FV22" s="174">
        <v>3</v>
      </c>
      <c r="FW22" s="174">
        <v>3</v>
      </c>
      <c r="FX22" s="174">
        <v>3</v>
      </c>
      <c r="FY22" s="174">
        <v>3</v>
      </c>
      <c r="FZ22" s="174">
        <v>3</v>
      </c>
      <c r="HA22" s="174">
        <v>21</v>
      </c>
      <c r="HB22" s="197">
        <v>19</v>
      </c>
      <c r="HC22" s="183">
        <v>29</v>
      </c>
      <c r="HD22" s="183">
        <v>48</v>
      </c>
      <c r="HE22" s="183">
        <v>19</v>
      </c>
      <c r="HF22" s="183">
        <v>77</v>
      </c>
      <c r="HG22" s="193">
        <f t="shared" si="3"/>
        <v>77</v>
      </c>
      <c r="HH22" s="192" t="e">
        <f t="shared" si="7"/>
        <v>#REF!</v>
      </c>
      <c r="HI22" s="198">
        <v>19</v>
      </c>
      <c r="HJ22" s="185">
        <v>77</v>
      </c>
      <c r="HK22" s="182">
        <v>20</v>
      </c>
      <c r="HL22" s="269">
        <f t="shared" si="35"/>
        <v>140</v>
      </c>
      <c r="HM22" s="269">
        <f t="shared" si="36"/>
        <v>130</v>
      </c>
      <c r="HN22" s="269">
        <f t="shared" si="37"/>
        <v>120</v>
      </c>
      <c r="HO22" s="269">
        <f t="shared" si="38"/>
        <v>120</v>
      </c>
      <c r="HP22" s="269">
        <f t="shared" si="39"/>
        <v>120</v>
      </c>
      <c r="HQ22" s="269">
        <f t="shared" si="40"/>
        <v>120</v>
      </c>
      <c r="HR22" s="269">
        <f t="shared" si="41"/>
        <v>110</v>
      </c>
      <c r="HS22" s="269">
        <f t="shared" si="42"/>
        <v>110</v>
      </c>
      <c r="HT22" s="269">
        <f t="shared" si="43"/>
        <v>100</v>
      </c>
      <c r="HU22" s="269">
        <f t="shared" si="44"/>
        <v>110</v>
      </c>
      <c r="HV22" s="269">
        <f t="shared" si="45"/>
        <v>110</v>
      </c>
      <c r="HW22" s="269">
        <f t="shared" si="46"/>
        <v>110</v>
      </c>
      <c r="HX22" s="269">
        <f t="shared" si="47"/>
        <v>100</v>
      </c>
      <c r="HY22" s="269">
        <f t="shared" si="48"/>
        <v>100</v>
      </c>
      <c r="HZ22" s="269">
        <f t="shared" si="49"/>
        <v>90</v>
      </c>
      <c r="IA22" s="269">
        <f t="shared" si="50"/>
        <v>90</v>
      </c>
      <c r="IB22" s="269">
        <f t="shared" si="51"/>
        <v>90</v>
      </c>
      <c r="IC22" s="269">
        <f t="shared" si="52"/>
        <v>80</v>
      </c>
      <c r="ID22" s="269">
        <f t="shared" si="53"/>
        <v>80</v>
      </c>
      <c r="IE22" s="269">
        <f t="shared" si="54"/>
        <v>70</v>
      </c>
      <c r="IF22" s="269">
        <f t="shared" si="55"/>
        <v>70</v>
      </c>
      <c r="IG22" s="269">
        <f t="shared" si="56"/>
        <v>50</v>
      </c>
      <c r="IH22" s="269">
        <f t="shared" si="57"/>
        <v>50</v>
      </c>
      <c r="II22" s="269">
        <f t="shared" si="58"/>
        <v>30</v>
      </c>
      <c r="IJ22" s="182">
        <v>22</v>
      </c>
      <c r="IN22" s="174">
        <f>Skills!K131</f>
        <v>-3.01</v>
      </c>
      <c r="IO22" s="174" t="str">
        <f>Skills!B131</f>
        <v>Directed Spell (per spell)</v>
      </c>
      <c r="IR22" s="174">
        <v>500000</v>
      </c>
      <c r="IS22" s="174">
        <v>20</v>
      </c>
    </row>
    <row r="23" spans="1:253" ht="13.35" customHeight="1" x14ac:dyDescent="0.2">
      <c r="A23" s="183">
        <f t="shared" si="1"/>
        <v>22</v>
      </c>
      <c r="B23" s="184">
        <f t="shared" si="34"/>
        <v>-2</v>
      </c>
      <c r="C23" s="183">
        <f t="shared" si="2"/>
        <v>22</v>
      </c>
      <c r="E23" s="189" t="s">
        <v>579</v>
      </c>
      <c r="F23" s="190" t="s">
        <v>995</v>
      </c>
      <c r="G23" s="190" t="s">
        <v>992</v>
      </c>
      <c r="H23" s="190" t="s">
        <v>991</v>
      </c>
      <c r="I23" s="190" t="s">
        <v>995</v>
      </c>
      <c r="J23" s="190" t="s">
        <v>995</v>
      </c>
      <c r="K23" s="190" t="s">
        <v>995</v>
      </c>
      <c r="L23" s="190" t="s">
        <v>995</v>
      </c>
      <c r="M23" s="190" t="s">
        <v>995</v>
      </c>
      <c r="N23" s="190" t="s">
        <v>995</v>
      </c>
      <c r="O23" s="190" t="s">
        <v>995</v>
      </c>
      <c r="P23" s="190" t="s">
        <v>995</v>
      </c>
      <c r="Q23" s="190" t="s">
        <v>995</v>
      </c>
      <c r="R23" s="190" t="s">
        <v>995</v>
      </c>
      <c r="S23" s="190" t="s">
        <v>995</v>
      </c>
      <c r="T23" s="190" t="s">
        <v>995</v>
      </c>
      <c r="U23" s="190" t="s">
        <v>995</v>
      </c>
      <c r="V23" s="190" t="s">
        <v>995</v>
      </c>
      <c r="W23" s="190" t="s">
        <v>991</v>
      </c>
      <c r="X23" s="190" t="s">
        <v>992</v>
      </c>
      <c r="Y23" s="190" t="s">
        <v>991</v>
      </c>
      <c r="Z23" s="190"/>
      <c r="AA23" s="190" t="s">
        <v>995</v>
      </c>
      <c r="AB23" s="190" t="s">
        <v>995</v>
      </c>
      <c r="AC23" s="190" t="s">
        <v>995</v>
      </c>
      <c r="AD23" s="190" t="s">
        <v>995</v>
      </c>
      <c r="AE23" s="190"/>
      <c r="AF23" s="190" t="s">
        <v>995</v>
      </c>
      <c r="AG23" s="190" t="s">
        <v>995</v>
      </c>
      <c r="AH23" s="190" t="s">
        <v>995</v>
      </c>
      <c r="AI23" s="190"/>
      <c r="AJ23" s="190" t="s">
        <v>995</v>
      </c>
      <c r="AK23" s="190" t="s">
        <v>1010</v>
      </c>
      <c r="AL23" s="190" t="s">
        <v>992</v>
      </c>
      <c r="AM23" s="190" t="s">
        <v>995</v>
      </c>
      <c r="AN23" s="190"/>
      <c r="AO23" s="190" t="s">
        <v>995</v>
      </c>
      <c r="AP23" s="190" t="s">
        <v>995</v>
      </c>
      <c r="AQ23" s="190" t="s">
        <v>995</v>
      </c>
      <c r="AR23" s="190"/>
      <c r="AS23" s="190" t="s">
        <v>995</v>
      </c>
      <c r="AT23" s="190" t="s">
        <v>995</v>
      </c>
      <c r="AU23" s="190" t="s">
        <v>995</v>
      </c>
      <c r="AV23" s="190" t="s">
        <v>995</v>
      </c>
      <c r="AW23" s="190" t="s">
        <v>995</v>
      </c>
      <c r="AX23" s="190" t="s">
        <v>995</v>
      </c>
      <c r="AY23" s="190" t="s">
        <v>995</v>
      </c>
      <c r="AZ23" s="190" t="s">
        <v>995</v>
      </c>
      <c r="BA23" s="190" t="s">
        <v>995</v>
      </c>
      <c r="BB23" s="190" t="s">
        <v>995</v>
      </c>
      <c r="BC23" s="190" t="s">
        <v>995</v>
      </c>
      <c r="BD23" s="190" t="s">
        <v>995</v>
      </c>
      <c r="BE23" s="190" t="s">
        <v>995</v>
      </c>
      <c r="BF23" s="190" t="s">
        <v>995</v>
      </c>
      <c r="BG23" s="190" t="s">
        <v>995</v>
      </c>
      <c r="BH23" s="190" t="s">
        <v>995</v>
      </c>
      <c r="BI23" s="190" t="s">
        <v>995</v>
      </c>
      <c r="BJ23" s="190" t="s">
        <v>995</v>
      </c>
      <c r="BK23" s="190" t="s">
        <v>995</v>
      </c>
      <c r="BL23" s="190" t="s">
        <v>995</v>
      </c>
      <c r="BM23" s="190" t="s">
        <v>995</v>
      </c>
      <c r="BN23" s="190" t="s">
        <v>995</v>
      </c>
      <c r="BO23" s="190" t="s">
        <v>995</v>
      </c>
      <c r="BP23" s="190" t="s">
        <v>995</v>
      </c>
      <c r="BQ23" s="190" t="s">
        <v>995</v>
      </c>
      <c r="BR23" s="190" t="s">
        <v>995</v>
      </c>
      <c r="BS23" s="190" t="s">
        <v>995</v>
      </c>
      <c r="BT23" s="190" t="s">
        <v>995</v>
      </c>
      <c r="BU23" s="190" t="s">
        <v>995</v>
      </c>
      <c r="BV23" s="190" t="s">
        <v>995</v>
      </c>
      <c r="BW23" s="190" t="s">
        <v>995</v>
      </c>
      <c r="BX23" s="190" t="s">
        <v>995</v>
      </c>
      <c r="BY23" s="190" t="s">
        <v>995</v>
      </c>
      <c r="BZ23" s="190" t="s">
        <v>995</v>
      </c>
      <c r="CA23" s="190" t="s">
        <v>995</v>
      </c>
      <c r="CB23" s="190" t="s">
        <v>995</v>
      </c>
      <c r="CC23" s="190" t="s">
        <v>995</v>
      </c>
      <c r="CD23" s="190" t="s">
        <v>995</v>
      </c>
      <c r="CE23" s="190" t="s">
        <v>995</v>
      </c>
      <c r="CF23" s="190" t="s">
        <v>995</v>
      </c>
      <c r="CG23" s="190" t="s">
        <v>995</v>
      </c>
      <c r="CH23" s="190" t="s">
        <v>995</v>
      </c>
      <c r="CI23" s="190" t="s">
        <v>995</v>
      </c>
      <c r="CJ23" s="190" t="s">
        <v>995</v>
      </c>
      <c r="CK23" s="190" t="s">
        <v>995</v>
      </c>
      <c r="CL23" s="190" t="s">
        <v>995</v>
      </c>
      <c r="CM23" s="190" t="s">
        <v>995</v>
      </c>
      <c r="CN23" s="190" t="s">
        <v>995</v>
      </c>
      <c r="CO23" s="190" t="s">
        <v>995</v>
      </c>
      <c r="CP23" s="190" t="s">
        <v>995</v>
      </c>
      <c r="CQ23" s="190" t="s">
        <v>995</v>
      </c>
      <c r="CR23" s="190"/>
      <c r="CS23" s="190" t="s">
        <v>995</v>
      </c>
      <c r="CT23" s="190" t="s">
        <v>991</v>
      </c>
      <c r="CU23" s="190" t="s">
        <v>994</v>
      </c>
      <c r="CV23" s="190" t="s">
        <v>991</v>
      </c>
      <c r="CW23" s="190"/>
      <c r="CX23" s="190" t="s">
        <v>995</v>
      </c>
      <c r="CY23" s="190" t="s">
        <v>995</v>
      </c>
      <c r="CZ23" s="190" t="s">
        <v>995</v>
      </c>
      <c r="DA23" s="190" t="s">
        <v>995</v>
      </c>
      <c r="DB23" s="190" t="s">
        <v>995</v>
      </c>
      <c r="DC23" s="190" t="s">
        <v>995</v>
      </c>
      <c r="DD23" s="190" t="s">
        <v>995</v>
      </c>
      <c r="DE23" s="190"/>
      <c r="DF23" s="174">
        <v>22</v>
      </c>
      <c r="DH23" s="268" t="s">
        <v>4186</v>
      </c>
      <c r="DI23" s="268" t="s">
        <v>4187</v>
      </c>
      <c r="DJ23" s="268"/>
      <c r="DK23" s="268"/>
      <c r="DL23" s="268">
        <v>2</v>
      </c>
      <c r="DM23" s="268"/>
      <c r="DN23" s="268"/>
      <c r="DO23" s="268">
        <v>2</v>
      </c>
      <c r="DP23" s="268"/>
      <c r="DQ23" s="268"/>
      <c r="DR23" s="268">
        <v>2</v>
      </c>
      <c r="DS23" s="268"/>
      <c r="DT23" s="268"/>
      <c r="DU23" s="268"/>
      <c r="DV23" s="268"/>
      <c r="DW23" s="268"/>
      <c r="DX23" s="268"/>
      <c r="DY23" s="268">
        <v>1</v>
      </c>
      <c r="DZ23" s="268">
        <v>5</v>
      </c>
      <c r="EA23" s="268">
        <v>1</v>
      </c>
      <c r="EB23" s="268">
        <v>55</v>
      </c>
      <c r="EC23" s="174">
        <f t="shared" si="6"/>
        <v>6</v>
      </c>
      <c r="ED23" s="268" t="s">
        <v>4189</v>
      </c>
      <c r="EE23" s="174">
        <v>6543</v>
      </c>
      <c r="EF23" s="174">
        <v>6543</v>
      </c>
      <c r="EG23" s="174">
        <v>7654</v>
      </c>
      <c r="EH23" s="174">
        <v>6543</v>
      </c>
      <c r="EI23" s="174">
        <v>6543</v>
      </c>
      <c r="EJ23" s="174">
        <v>6543</v>
      </c>
      <c r="EK23" s="174">
        <v>6543</v>
      </c>
      <c r="EL23" s="174">
        <v>6421</v>
      </c>
      <c r="EN23" s="182" t="s">
        <v>1050</v>
      </c>
      <c r="EV23" s="174">
        <v>1</v>
      </c>
      <c r="EW23" s="174">
        <v>1</v>
      </c>
      <c r="EX23" s="174">
        <v>1</v>
      </c>
      <c r="EY23" s="174">
        <v>1</v>
      </c>
      <c r="EZ23" s="174">
        <v>1</v>
      </c>
      <c r="FB23" s="174">
        <v>3</v>
      </c>
      <c r="FG23" s="174">
        <v>8</v>
      </c>
      <c r="FH23" s="174">
        <v>3</v>
      </c>
      <c r="FI23" s="174">
        <v>1</v>
      </c>
      <c r="FK23" s="174">
        <v>1</v>
      </c>
      <c r="FL23" s="174">
        <v>1</v>
      </c>
      <c r="FM23" s="174">
        <v>1</v>
      </c>
      <c r="FQ23" s="174">
        <v>1</v>
      </c>
      <c r="FR23" s="174">
        <v>3</v>
      </c>
      <c r="FS23" s="174">
        <v>1</v>
      </c>
      <c r="FT23" s="174">
        <v>3</v>
      </c>
      <c r="FU23" s="174">
        <v>1</v>
      </c>
      <c r="FV23" s="174">
        <v>3</v>
      </c>
      <c r="HA23" s="174">
        <v>22</v>
      </c>
      <c r="HB23" s="197">
        <v>20</v>
      </c>
      <c r="HC23" s="183">
        <v>30</v>
      </c>
      <c r="HD23" s="183">
        <v>50</v>
      </c>
      <c r="HE23" s="183">
        <v>20</v>
      </c>
      <c r="HF23" s="183">
        <v>80</v>
      </c>
      <c r="HG23" s="193">
        <f t="shared" si="3"/>
        <v>80</v>
      </c>
      <c r="HH23" s="192" t="e">
        <f t="shared" si="7"/>
        <v>#REF!</v>
      </c>
      <c r="HI23" s="198">
        <v>20</v>
      </c>
      <c r="HJ23" s="185">
        <v>80</v>
      </c>
      <c r="HK23" s="174">
        <v>21</v>
      </c>
      <c r="HL23" s="174">
        <f>HL22+5</f>
        <v>145</v>
      </c>
      <c r="HM23" s="174">
        <f>HM22+5</f>
        <v>135</v>
      </c>
      <c r="HN23" s="174">
        <f>HN22+4</f>
        <v>124</v>
      </c>
      <c r="HO23" s="174">
        <f>HO22+3</f>
        <v>123</v>
      </c>
      <c r="HP23" s="174">
        <f>HP22+3</f>
        <v>123</v>
      </c>
      <c r="HQ23" s="174">
        <f>HQ22+2</f>
        <v>122</v>
      </c>
      <c r="HR23" s="174">
        <f>HR22+3</f>
        <v>113</v>
      </c>
      <c r="HS23" s="174">
        <f>HS22+2</f>
        <v>112</v>
      </c>
      <c r="HT23" s="174">
        <f>HT22+2</f>
        <v>102</v>
      </c>
      <c r="HU23" s="174">
        <f>HU22+4</f>
        <v>114</v>
      </c>
      <c r="HV23" s="174">
        <f>HV22+3</f>
        <v>113</v>
      </c>
      <c r="HW23" s="174">
        <f>HW22+2</f>
        <v>112</v>
      </c>
      <c r="HX23" s="174">
        <f>HX22+3</f>
        <v>103</v>
      </c>
      <c r="HY23" s="174">
        <f>HY22+2</f>
        <v>102</v>
      </c>
      <c r="HZ23" s="174">
        <f>HZ22+2</f>
        <v>92</v>
      </c>
      <c r="IA23" s="174">
        <f>IA22+1</f>
        <v>91</v>
      </c>
      <c r="IB23" s="174">
        <f>IB22+3</f>
        <v>93</v>
      </c>
      <c r="IC23" s="174">
        <f>IC22+2</f>
        <v>82</v>
      </c>
      <c r="ID23" s="174">
        <f>ID22+1</f>
        <v>81</v>
      </c>
      <c r="IE23" s="174">
        <f>IE22+2</f>
        <v>72</v>
      </c>
      <c r="IF23" s="174">
        <f>IF22+2</f>
        <v>72</v>
      </c>
      <c r="IG23" s="174">
        <f>IG22+2</f>
        <v>52</v>
      </c>
      <c r="IH23" s="174">
        <f>IH22+1</f>
        <v>51</v>
      </c>
      <c r="II23" s="174">
        <f>II22+1</f>
        <v>31</v>
      </c>
      <c r="IJ23" s="174">
        <v>23</v>
      </c>
      <c r="IN23" s="174">
        <f>Skills!K132</f>
        <v>-3.01</v>
      </c>
      <c r="IO23" s="174" t="str">
        <f>Skills!B132</f>
        <v>Directed Spell (per spell)</v>
      </c>
      <c r="IR23" s="174">
        <v>550000</v>
      </c>
      <c r="IS23" s="174">
        <v>21</v>
      </c>
    </row>
    <row r="24" spans="1:253" ht="13.35" customHeight="1" x14ac:dyDescent="0.2">
      <c r="A24" s="183">
        <f t="shared" si="1"/>
        <v>23</v>
      </c>
      <c r="B24" s="184">
        <f t="shared" si="34"/>
        <v>-2</v>
      </c>
      <c r="C24" s="183">
        <f t="shared" si="2"/>
        <v>23</v>
      </c>
      <c r="E24" s="189" t="s">
        <v>586</v>
      </c>
      <c r="F24" s="190" t="s">
        <v>1047</v>
      </c>
      <c r="G24" s="190" t="s">
        <v>1006</v>
      </c>
      <c r="H24" s="190" t="s">
        <v>1006</v>
      </c>
      <c r="I24" s="190" t="s">
        <v>999</v>
      </c>
      <c r="J24" s="190" t="s">
        <v>1009</v>
      </c>
      <c r="K24" s="190" t="s">
        <v>987</v>
      </c>
      <c r="L24" s="190" t="s">
        <v>987</v>
      </c>
      <c r="M24" s="190" t="s">
        <v>1002</v>
      </c>
      <c r="N24" s="190" t="s">
        <v>1002</v>
      </c>
      <c r="O24" s="190" t="s">
        <v>1009</v>
      </c>
      <c r="P24" s="190" t="s">
        <v>1009</v>
      </c>
      <c r="Q24" s="190" t="s">
        <v>1002</v>
      </c>
      <c r="R24" s="190" t="s">
        <v>1002</v>
      </c>
      <c r="S24" s="190" t="s">
        <v>987</v>
      </c>
      <c r="T24" s="190" t="s">
        <v>1005</v>
      </c>
      <c r="U24" s="190" t="s">
        <v>1002</v>
      </c>
      <c r="V24" s="190" t="s">
        <v>991</v>
      </c>
      <c r="W24" s="190" t="s">
        <v>1005</v>
      </c>
      <c r="X24" s="190" t="s">
        <v>1009</v>
      </c>
      <c r="Y24" s="190" t="s">
        <v>1009</v>
      </c>
      <c r="Z24" s="190"/>
      <c r="AA24" s="190" t="s">
        <v>987</v>
      </c>
      <c r="AB24" s="190" t="s">
        <v>987</v>
      </c>
      <c r="AC24" s="190" t="s">
        <v>1004</v>
      </c>
      <c r="AD24" s="190" t="s">
        <v>1009</v>
      </c>
      <c r="AE24" s="190"/>
      <c r="AF24" s="190" t="s">
        <v>987</v>
      </c>
      <c r="AG24" s="190" t="s">
        <v>987</v>
      </c>
      <c r="AH24" s="190" t="s">
        <v>1005</v>
      </c>
      <c r="AI24" s="190"/>
      <c r="AJ24" s="190" t="s">
        <v>1007</v>
      </c>
      <c r="AK24" s="190" t="s">
        <v>1002</v>
      </c>
      <c r="AL24" s="190" t="s">
        <v>1009</v>
      </c>
      <c r="AM24" s="190" t="s">
        <v>1002</v>
      </c>
      <c r="AN24" s="190"/>
      <c r="AO24" s="190" t="s">
        <v>987</v>
      </c>
      <c r="AP24" s="190" t="s">
        <v>1002</v>
      </c>
      <c r="AQ24" s="190" t="s">
        <v>1004</v>
      </c>
      <c r="AR24" s="190"/>
      <c r="AS24" s="190" t="s">
        <v>987</v>
      </c>
      <c r="AT24" s="190" t="s">
        <v>987</v>
      </c>
      <c r="AU24" s="190" t="s">
        <v>987</v>
      </c>
      <c r="AV24" s="190" t="s">
        <v>987</v>
      </c>
      <c r="AW24" s="190" t="s">
        <v>987</v>
      </c>
      <c r="AX24" s="190" t="s">
        <v>987</v>
      </c>
      <c r="AY24" s="190" t="s">
        <v>987</v>
      </c>
      <c r="AZ24" s="190" t="s">
        <v>987</v>
      </c>
      <c r="BA24" s="190" t="s">
        <v>987</v>
      </c>
      <c r="BB24" s="190" t="s">
        <v>987</v>
      </c>
      <c r="BC24" s="190" t="s">
        <v>987</v>
      </c>
      <c r="BD24" s="190" t="s">
        <v>987</v>
      </c>
      <c r="BE24" s="190" t="s">
        <v>987</v>
      </c>
      <c r="BF24" s="190" t="s">
        <v>987</v>
      </c>
      <c r="BG24" s="190" t="s">
        <v>987</v>
      </c>
      <c r="BH24" s="190" t="s">
        <v>987</v>
      </c>
      <c r="BI24" s="190" t="s">
        <v>987</v>
      </c>
      <c r="BJ24" s="190" t="s">
        <v>987</v>
      </c>
      <c r="BK24" s="190" t="s">
        <v>987</v>
      </c>
      <c r="BL24" s="190" t="s">
        <v>987</v>
      </c>
      <c r="BM24" s="190" t="s">
        <v>987</v>
      </c>
      <c r="BN24" s="190" t="s">
        <v>987</v>
      </c>
      <c r="BO24" s="190" t="s">
        <v>987</v>
      </c>
      <c r="BP24" s="190" t="s">
        <v>987</v>
      </c>
      <c r="BQ24" s="190" t="s">
        <v>987</v>
      </c>
      <c r="BR24" s="190" t="s">
        <v>987</v>
      </c>
      <c r="BS24" s="190" t="s">
        <v>987</v>
      </c>
      <c r="BT24" s="190" t="s">
        <v>987</v>
      </c>
      <c r="BU24" s="190" t="s">
        <v>987</v>
      </c>
      <c r="BV24" s="190" t="s">
        <v>987</v>
      </c>
      <c r="BW24" s="190" t="s">
        <v>987</v>
      </c>
      <c r="BX24" s="190" t="s">
        <v>987</v>
      </c>
      <c r="BY24" s="190" t="s">
        <v>987</v>
      </c>
      <c r="BZ24" s="190" t="s">
        <v>987</v>
      </c>
      <c r="CA24" s="190" t="s">
        <v>987</v>
      </c>
      <c r="CB24" s="190" t="s">
        <v>987</v>
      </c>
      <c r="CC24" s="190" t="s">
        <v>987</v>
      </c>
      <c r="CD24" s="190" t="s">
        <v>987</v>
      </c>
      <c r="CE24" s="190" t="s">
        <v>987</v>
      </c>
      <c r="CF24" s="190" t="s">
        <v>987</v>
      </c>
      <c r="CG24" s="190" t="s">
        <v>987</v>
      </c>
      <c r="CH24" s="190" t="s">
        <v>987</v>
      </c>
      <c r="CI24" s="190" t="s">
        <v>987</v>
      </c>
      <c r="CJ24" s="190" t="s">
        <v>987</v>
      </c>
      <c r="CK24" s="190" t="s">
        <v>987</v>
      </c>
      <c r="CL24" s="190" t="s">
        <v>987</v>
      </c>
      <c r="CM24" s="190" t="s">
        <v>987</v>
      </c>
      <c r="CN24" s="190" t="s">
        <v>987</v>
      </c>
      <c r="CO24" s="190" t="s">
        <v>987</v>
      </c>
      <c r="CP24" s="190" t="s">
        <v>987</v>
      </c>
      <c r="CQ24" s="190" t="s">
        <v>987</v>
      </c>
      <c r="CR24" s="190"/>
      <c r="CS24" s="190" t="s">
        <v>1001</v>
      </c>
      <c r="CT24" s="190" t="s">
        <v>1006</v>
      </c>
      <c r="CU24" s="190" t="s">
        <v>1029</v>
      </c>
      <c r="CV24" s="190" t="s">
        <v>995</v>
      </c>
      <c r="CW24" s="190"/>
      <c r="CX24" s="190" t="s">
        <v>1002</v>
      </c>
      <c r="CY24" s="190" t="s">
        <v>1002</v>
      </c>
      <c r="CZ24" s="190" t="s">
        <v>1002</v>
      </c>
      <c r="DA24" s="190" t="s">
        <v>1001</v>
      </c>
      <c r="DB24" s="190" t="s">
        <v>987</v>
      </c>
      <c r="DC24" s="190" t="s">
        <v>1002</v>
      </c>
      <c r="DD24" s="190" t="s">
        <v>1009</v>
      </c>
      <c r="DE24" s="190"/>
      <c r="DF24" s="174">
        <v>23</v>
      </c>
      <c r="DH24" s="268" t="s">
        <v>4186</v>
      </c>
      <c r="DI24" s="268" t="s">
        <v>4188</v>
      </c>
      <c r="DJ24" s="268">
        <v>2</v>
      </c>
      <c r="DK24" s="268"/>
      <c r="DL24" s="268">
        <v>2</v>
      </c>
      <c r="DM24" s="268"/>
      <c r="DN24" s="268"/>
      <c r="DO24" s="268">
        <v>2</v>
      </c>
      <c r="DP24" s="268"/>
      <c r="DQ24" s="268">
        <v>2</v>
      </c>
      <c r="DR24" s="268"/>
      <c r="DS24" s="268"/>
      <c r="DT24" s="268"/>
      <c r="DU24" s="268"/>
      <c r="DV24" s="268"/>
      <c r="DW24" s="268"/>
      <c r="DX24" s="268"/>
      <c r="DY24" s="268">
        <v>1</v>
      </c>
      <c r="DZ24" s="268">
        <v>5</v>
      </c>
      <c r="EA24" s="268">
        <v>0.9</v>
      </c>
      <c r="EB24" s="268">
        <v>50</v>
      </c>
      <c r="EC24" s="174">
        <f t="shared" si="6"/>
        <v>8</v>
      </c>
      <c r="ED24" s="268" t="s">
        <v>4388</v>
      </c>
      <c r="EE24" s="174">
        <v>7543</v>
      </c>
      <c r="EF24" s="174">
        <v>7543</v>
      </c>
      <c r="EG24" s="174">
        <v>8654</v>
      </c>
      <c r="EH24" s="174">
        <v>7543</v>
      </c>
      <c r="EI24" s="174">
        <v>7543</v>
      </c>
      <c r="EJ24" s="174">
        <v>7543</v>
      </c>
      <c r="EK24" s="174">
        <v>7543</v>
      </c>
      <c r="EL24" s="174">
        <v>6521</v>
      </c>
      <c r="EN24" s="174" t="s">
        <v>606</v>
      </c>
      <c r="EV24" s="174">
        <v>1</v>
      </c>
      <c r="EW24" s="174">
        <v>1</v>
      </c>
      <c r="EX24" s="174">
        <v>1</v>
      </c>
      <c r="EY24" s="174">
        <v>1</v>
      </c>
      <c r="EZ24" s="174">
        <v>1</v>
      </c>
      <c r="FG24" s="174">
        <v>8</v>
      </c>
      <c r="FH24" s="174">
        <v>3</v>
      </c>
      <c r="FI24" s="174">
        <v>1</v>
      </c>
      <c r="FM24" s="174">
        <v>1</v>
      </c>
      <c r="FQ24" s="174">
        <v>1</v>
      </c>
      <c r="FR24" s="174">
        <v>3</v>
      </c>
      <c r="FT24" s="174">
        <v>3</v>
      </c>
      <c r="HA24" s="174">
        <v>23</v>
      </c>
      <c r="HB24" s="197">
        <v>21</v>
      </c>
      <c r="HC24" s="183">
        <v>31</v>
      </c>
      <c r="HD24" s="183">
        <v>51</v>
      </c>
      <c r="HE24" s="194">
        <v>21</v>
      </c>
      <c r="HF24" s="183">
        <v>82</v>
      </c>
      <c r="HG24" s="193">
        <f t="shared" si="3"/>
        <v>81</v>
      </c>
      <c r="HH24" s="192" t="e">
        <f t="shared" si="7"/>
        <v>#REF!</v>
      </c>
      <c r="HI24" s="198">
        <v>21</v>
      </c>
      <c r="HJ24" s="185">
        <v>82</v>
      </c>
      <c r="HK24" s="174">
        <v>22</v>
      </c>
      <c r="HL24" s="174">
        <f t="shared" ref="HL24:HL32" si="59">HL23+5</f>
        <v>150</v>
      </c>
      <c r="HM24" s="174">
        <f t="shared" ref="HM24:HM32" si="60">HM23+5</f>
        <v>140</v>
      </c>
      <c r="HN24" s="174">
        <f t="shared" ref="HN24:HN32" si="61">HN23+4</f>
        <v>128</v>
      </c>
      <c r="HO24" s="174">
        <f t="shared" ref="HO24:HO32" si="62">HO23+3</f>
        <v>126</v>
      </c>
      <c r="HP24" s="174">
        <f t="shared" ref="HP24:HP32" si="63">HP23+3</f>
        <v>126</v>
      </c>
      <c r="HQ24" s="174">
        <f t="shared" ref="HQ24:HQ32" si="64">HQ23+2</f>
        <v>124</v>
      </c>
      <c r="HR24" s="174">
        <f t="shared" ref="HR24:HR32" si="65">HR23+3</f>
        <v>116</v>
      </c>
      <c r="HS24" s="174">
        <f t="shared" ref="HS24:HS32" si="66">HS23+2</f>
        <v>114</v>
      </c>
      <c r="HT24" s="174">
        <f t="shared" ref="HT24:HT32" si="67">HT23+2</f>
        <v>104</v>
      </c>
      <c r="HU24" s="174">
        <f t="shared" ref="HU24:HU32" si="68">HU23+4</f>
        <v>118</v>
      </c>
      <c r="HV24" s="174">
        <f t="shared" ref="HV24:HV32" si="69">HV23+3</f>
        <v>116</v>
      </c>
      <c r="HW24" s="174">
        <f t="shared" ref="HW24:HW32" si="70">HW23+2</f>
        <v>114</v>
      </c>
      <c r="HX24" s="174">
        <f t="shared" ref="HX24:HX32" si="71">HX23+3</f>
        <v>106</v>
      </c>
      <c r="HY24" s="174">
        <f t="shared" ref="HY24:HY32" si="72">HY23+2</f>
        <v>104</v>
      </c>
      <c r="HZ24" s="174">
        <f t="shared" ref="HZ24:HZ32" si="73">HZ23+2</f>
        <v>94</v>
      </c>
      <c r="IA24" s="174">
        <f t="shared" ref="IA24:IA32" si="74">IA23+1</f>
        <v>92</v>
      </c>
      <c r="IB24" s="174">
        <f t="shared" ref="IB24:IB32" si="75">IB23+3</f>
        <v>96</v>
      </c>
      <c r="IC24" s="174">
        <f t="shared" ref="IC24:IC32" si="76">IC23+2</f>
        <v>84</v>
      </c>
      <c r="ID24" s="174">
        <f t="shared" ref="ID24:ID32" si="77">ID23+1</f>
        <v>82</v>
      </c>
      <c r="IE24" s="174">
        <f t="shared" ref="IE24:IE32" si="78">IE23+2</f>
        <v>74</v>
      </c>
      <c r="IF24" s="174">
        <f t="shared" ref="IF24:IF32" si="79">IF23+2</f>
        <v>74</v>
      </c>
      <c r="IG24" s="174">
        <f t="shared" ref="IG24:IG32" si="80">IG23+2</f>
        <v>54</v>
      </c>
      <c r="IH24" s="174">
        <f t="shared" ref="IH24:IH32" si="81">IH23+1</f>
        <v>52</v>
      </c>
      <c r="II24" s="174">
        <f t="shared" ref="II24:II32" si="82">II23+1</f>
        <v>32</v>
      </c>
      <c r="IJ24" s="174">
        <v>24</v>
      </c>
      <c r="IN24" s="174">
        <f>LARGE($IN$35:$IN$38,1)</f>
        <v>-9.01</v>
      </c>
      <c r="IO24" s="174" t="str">
        <f>VLOOKUP(IN24,$IN$35:$IO$38,2,0)</f>
        <v>Sweeps 2</v>
      </c>
      <c r="IR24" s="174">
        <v>600000</v>
      </c>
      <c r="IS24" s="174">
        <v>22</v>
      </c>
    </row>
    <row r="25" spans="1:253" ht="13.35" customHeight="1" x14ac:dyDescent="0.2">
      <c r="A25" s="183">
        <f t="shared" si="1"/>
        <v>24</v>
      </c>
      <c r="B25" s="184">
        <f t="shared" si="34"/>
        <v>-2</v>
      </c>
      <c r="C25" s="183">
        <f t="shared" si="2"/>
        <v>24</v>
      </c>
      <c r="E25" s="189" t="s">
        <v>593</v>
      </c>
      <c r="F25" s="190" t="s">
        <v>1047</v>
      </c>
      <c r="G25" s="190" t="s">
        <v>1006</v>
      </c>
      <c r="H25" s="190" t="s">
        <v>1006</v>
      </c>
      <c r="I25" s="190" t="s">
        <v>999</v>
      </c>
      <c r="J25" s="190" t="s">
        <v>1009</v>
      </c>
      <c r="K25" s="190" t="s">
        <v>987</v>
      </c>
      <c r="L25" s="190" t="s">
        <v>987</v>
      </c>
      <c r="M25" s="190" t="s">
        <v>1002</v>
      </c>
      <c r="N25" s="190" t="s">
        <v>1002</v>
      </c>
      <c r="O25" s="190" t="s">
        <v>1009</v>
      </c>
      <c r="P25" s="190" t="s">
        <v>1009</v>
      </c>
      <c r="Q25" s="190" t="s">
        <v>1002</v>
      </c>
      <c r="R25" s="190" t="s">
        <v>1002</v>
      </c>
      <c r="S25" s="190" t="s">
        <v>987</v>
      </c>
      <c r="T25" s="190" t="s">
        <v>1005</v>
      </c>
      <c r="U25" s="190" t="s">
        <v>1002</v>
      </c>
      <c r="V25" s="190" t="s">
        <v>991</v>
      </c>
      <c r="W25" s="190" t="s">
        <v>1005</v>
      </c>
      <c r="X25" s="190" t="s">
        <v>1009</v>
      </c>
      <c r="Y25" s="190" t="s">
        <v>1009</v>
      </c>
      <c r="Z25" s="190"/>
      <c r="AA25" s="190" t="s">
        <v>987</v>
      </c>
      <c r="AB25" s="190" t="s">
        <v>987</v>
      </c>
      <c r="AC25" s="190" t="s">
        <v>1004</v>
      </c>
      <c r="AD25" s="190" t="s">
        <v>1009</v>
      </c>
      <c r="AE25" s="190"/>
      <c r="AF25" s="190" t="s">
        <v>987</v>
      </c>
      <c r="AG25" s="190" t="s">
        <v>987</v>
      </c>
      <c r="AH25" s="190" t="s">
        <v>1005</v>
      </c>
      <c r="AI25" s="190"/>
      <c r="AJ25" s="190" t="s">
        <v>1007</v>
      </c>
      <c r="AK25" s="190" t="s">
        <v>1002</v>
      </c>
      <c r="AL25" s="190" t="s">
        <v>1009</v>
      </c>
      <c r="AM25" s="190" t="s">
        <v>1002</v>
      </c>
      <c r="AN25" s="190"/>
      <c r="AO25" s="190" t="s">
        <v>987</v>
      </c>
      <c r="AP25" s="190" t="s">
        <v>1002</v>
      </c>
      <c r="AQ25" s="190" t="s">
        <v>1004</v>
      </c>
      <c r="AR25" s="190"/>
      <c r="AS25" s="190" t="s">
        <v>987</v>
      </c>
      <c r="AT25" s="190" t="s">
        <v>987</v>
      </c>
      <c r="AU25" s="190" t="s">
        <v>987</v>
      </c>
      <c r="AV25" s="190" t="s">
        <v>987</v>
      </c>
      <c r="AW25" s="190" t="s">
        <v>987</v>
      </c>
      <c r="AX25" s="190" t="s">
        <v>987</v>
      </c>
      <c r="AY25" s="190" t="s">
        <v>987</v>
      </c>
      <c r="AZ25" s="190" t="s">
        <v>987</v>
      </c>
      <c r="BA25" s="190" t="s">
        <v>987</v>
      </c>
      <c r="BB25" s="190" t="s">
        <v>987</v>
      </c>
      <c r="BC25" s="190" t="s">
        <v>987</v>
      </c>
      <c r="BD25" s="190" t="s">
        <v>987</v>
      </c>
      <c r="BE25" s="190" t="s">
        <v>987</v>
      </c>
      <c r="BF25" s="190" t="s">
        <v>987</v>
      </c>
      <c r="BG25" s="190" t="s">
        <v>987</v>
      </c>
      <c r="BH25" s="190" t="s">
        <v>987</v>
      </c>
      <c r="BI25" s="190" t="s">
        <v>987</v>
      </c>
      <c r="BJ25" s="190" t="s">
        <v>987</v>
      </c>
      <c r="BK25" s="190" t="s">
        <v>987</v>
      </c>
      <c r="BL25" s="190" t="s">
        <v>987</v>
      </c>
      <c r="BM25" s="190" t="s">
        <v>987</v>
      </c>
      <c r="BN25" s="190" t="s">
        <v>987</v>
      </c>
      <c r="BO25" s="190" t="s">
        <v>987</v>
      </c>
      <c r="BP25" s="190" t="s">
        <v>987</v>
      </c>
      <c r="BQ25" s="190" t="s">
        <v>987</v>
      </c>
      <c r="BR25" s="190" t="s">
        <v>987</v>
      </c>
      <c r="BS25" s="190" t="s">
        <v>987</v>
      </c>
      <c r="BT25" s="190" t="s">
        <v>987</v>
      </c>
      <c r="BU25" s="190" t="s">
        <v>987</v>
      </c>
      <c r="BV25" s="190" t="s">
        <v>987</v>
      </c>
      <c r="BW25" s="190" t="s">
        <v>987</v>
      </c>
      <c r="BX25" s="190" t="s">
        <v>987</v>
      </c>
      <c r="BY25" s="190" t="s">
        <v>987</v>
      </c>
      <c r="BZ25" s="190" t="s">
        <v>987</v>
      </c>
      <c r="CA25" s="190" t="s">
        <v>987</v>
      </c>
      <c r="CB25" s="190" t="s">
        <v>987</v>
      </c>
      <c r="CC25" s="190" t="s">
        <v>987</v>
      </c>
      <c r="CD25" s="190" t="s">
        <v>987</v>
      </c>
      <c r="CE25" s="190" t="s">
        <v>987</v>
      </c>
      <c r="CF25" s="190" t="s">
        <v>987</v>
      </c>
      <c r="CG25" s="190" t="s">
        <v>987</v>
      </c>
      <c r="CH25" s="190" t="s">
        <v>987</v>
      </c>
      <c r="CI25" s="190" t="s">
        <v>987</v>
      </c>
      <c r="CJ25" s="190" t="s">
        <v>987</v>
      </c>
      <c r="CK25" s="190" t="s">
        <v>987</v>
      </c>
      <c r="CL25" s="190" t="s">
        <v>987</v>
      </c>
      <c r="CM25" s="190" t="s">
        <v>987</v>
      </c>
      <c r="CN25" s="190" t="s">
        <v>987</v>
      </c>
      <c r="CO25" s="190" t="s">
        <v>987</v>
      </c>
      <c r="CP25" s="190" t="s">
        <v>987</v>
      </c>
      <c r="CQ25" s="190" t="s">
        <v>987</v>
      </c>
      <c r="CR25" s="190"/>
      <c r="CS25" s="190" t="s">
        <v>1051</v>
      </c>
      <c r="CT25" s="190" t="s">
        <v>1006</v>
      </c>
      <c r="CU25" s="190" t="s">
        <v>1029</v>
      </c>
      <c r="CV25" s="190" t="s">
        <v>995</v>
      </c>
      <c r="CW25" s="190"/>
      <c r="CX25" s="190" t="s">
        <v>1002</v>
      </c>
      <c r="CY25" s="190" t="s">
        <v>1002</v>
      </c>
      <c r="CZ25" s="190" t="s">
        <v>1002</v>
      </c>
      <c r="DA25" s="190" t="s">
        <v>1051</v>
      </c>
      <c r="DB25" s="190" t="s">
        <v>987</v>
      </c>
      <c r="DC25" s="190" t="s">
        <v>1002</v>
      </c>
      <c r="DD25" s="190" t="s">
        <v>1009</v>
      </c>
      <c r="DE25" s="190"/>
      <c r="DF25" s="174">
        <v>24</v>
      </c>
      <c r="DH25" s="268" t="s">
        <v>4186</v>
      </c>
      <c r="DI25" s="268" t="s">
        <v>4195</v>
      </c>
      <c r="DJ25" s="268">
        <v>3</v>
      </c>
      <c r="DK25" s="268"/>
      <c r="DL25" s="268">
        <v>2</v>
      </c>
      <c r="DM25" s="268"/>
      <c r="DN25" s="268"/>
      <c r="DO25" s="268">
        <v>3</v>
      </c>
      <c r="DP25" s="268"/>
      <c r="DQ25" s="268">
        <v>2</v>
      </c>
      <c r="DR25" s="268">
        <v>-2</v>
      </c>
      <c r="DS25" s="268"/>
      <c r="DT25" s="268"/>
      <c r="DU25" s="268"/>
      <c r="DV25" s="268"/>
      <c r="DW25" s="268"/>
      <c r="DX25" s="268"/>
      <c r="DY25" s="268">
        <v>1</v>
      </c>
      <c r="DZ25" s="268">
        <v>5</v>
      </c>
      <c r="EA25" s="268">
        <v>0.9</v>
      </c>
      <c r="EB25" s="268">
        <v>50</v>
      </c>
      <c r="EC25" s="174">
        <f t="shared" si="6"/>
        <v>8</v>
      </c>
      <c r="ED25" s="268" t="s">
        <v>4393</v>
      </c>
      <c r="EE25" s="174">
        <v>2111</v>
      </c>
      <c r="EF25" s="174">
        <v>6543</v>
      </c>
      <c r="EG25" s="174">
        <v>2111</v>
      </c>
      <c r="EH25" s="174">
        <v>4322</v>
      </c>
      <c r="EI25" s="174">
        <v>2111</v>
      </c>
      <c r="EJ25" s="174">
        <v>4322</v>
      </c>
      <c r="EK25" s="174">
        <v>3221</v>
      </c>
      <c r="EL25" s="174">
        <v>6521</v>
      </c>
      <c r="EN25" s="182" t="s">
        <v>1053</v>
      </c>
      <c r="EP25" s="174">
        <v>2</v>
      </c>
      <c r="EQ25" s="174">
        <v>3</v>
      </c>
      <c r="ER25" s="174">
        <v>2</v>
      </c>
      <c r="ES25" s="174">
        <v>2</v>
      </c>
      <c r="ET25" s="174">
        <v>2</v>
      </c>
      <c r="EU25" s="174">
        <v>4</v>
      </c>
      <c r="EV25" s="174">
        <v>3</v>
      </c>
      <c r="EW25" s="174">
        <v>4</v>
      </c>
      <c r="EX25" s="174">
        <v>3</v>
      </c>
      <c r="EY25" s="174">
        <v>4</v>
      </c>
      <c r="EZ25" s="174">
        <v>5</v>
      </c>
      <c r="FA25" s="174">
        <v>2</v>
      </c>
      <c r="FB25" s="174">
        <v>5</v>
      </c>
      <c r="FC25" s="174">
        <v>2</v>
      </c>
      <c r="FD25" s="174">
        <v>2</v>
      </c>
      <c r="FE25" s="174">
        <v>2</v>
      </c>
      <c r="FF25" s="174">
        <v>2</v>
      </c>
      <c r="FG25" s="174">
        <v>1</v>
      </c>
      <c r="FH25" s="174">
        <v>4</v>
      </c>
      <c r="FI25" s="174">
        <v>1</v>
      </c>
      <c r="FJ25" s="174">
        <v>1</v>
      </c>
      <c r="FK25" s="174">
        <v>1</v>
      </c>
      <c r="FL25" s="174">
        <v>1</v>
      </c>
      <c r="FM25" s="174">
        <v>1</v>
      </c>
      <c r="FN25" s="174">
        <v>1</v>
      </c>
      <c r="FO25" s="174">
        <v>1</v>
      </c>
      <c r="FQ25" s="174">
        <v>1</v>
      </c>
      <c r="FR25" s="174">
        <v>2</v>
      </c>
      <c r="FS25" s="174">
        <v>1</v>
      </c>
      <c r="FT25" s="174">
        <v>3</v>
      </c>
      <c r="FU25" s="174">
        <v>1</v>
      </c>
      <c r="FV25" s="174">
        <v>4</v>
      </c>
      <c r="FW25" s="174">
        <v>6</v>
      </c>
      <c r="FY25" s="174">
        <v>2</v>
      </c>
      <c r="FZ25" s="174">
        <v>2</v>
      </c>
      <c r="HA25" s="174">
        <v>24</v>
      </c>
      <c r="HB25" s="197">
        <v>22</v>
      </c>
      <c r="HC25" s="183">
        <v>31</v>
      </c>
      <c r="HD25" s="183">
        <v>52</v>
      </c>
      <c r="HE25" s="194">
        <v>21</v>
      </c>
      <c r="HF25" s="183">
        <v>83</v>
      </c>
      <c r="HG25" s="193">
        <f t="shared" si="3"/>
        <v>82</v>
      </c>
      <c r="HH25" s="192" t="e">
        <f t="shared" si="7"/>
        <v>#REF!</v>
      </c>
      <c r="HI25" s="198">
        <v>21</v>
      </c>
      <c r="HJ25" s="185">
        <v>84</v>
      </c>
      <c r="HK25" s="174">
        <v>23</v>
      </c>
      <c r="HL25" s="174">
        <f t="shared" si="59"/>
        <v>155</v>
      </c>
      <c r="HM25" s="174">
        <f t="shared" si="60"/>
        <v>145</v>
      </c>
      <c r="HN25" s="174">
        <f t="shared" si="61"/>
        <v>132</v>
      </c>
      <c r="HO25" s="174">
        <f t="shared" si="62"/>
        <v>129</v>
      </c>
      <c r="HP25" s="174">
        <f t="shared" si="63"/>
        <v>129</v>
      </c>
      <c r="HQ25" s="174">
        <f t="shared" si="64"/>
        <v>126</v>
      </c>
      <c r="HR25" s="174">
        <f t="shared" si="65"/>
        <v>119</v>
      </c>
      <c r="HS25" s="174">
        <f t="shared" si="66"/>
        <v>116</v>
      </c>
      <c r="HT25" s="174">
        <f t="shared" si="67"/>
        <v>106</v>
      </c>
      <c r="HU25" s="174">
        <f t="shared" si="68"/>
        <v>122</v>
      </c>
      <c r="HV25" s="174">
        <f t="shared" si="69"/>
        <v>119</v>
      </c>
      <c r="HW25" s="174">
        <f t="shared" si="70"/>
        <v>116</v>
      </c>
      <c r="HX25" s="174">
        <f t="shared" si="71"/>
        <v>109</v>
      </c>
      <c r="HY25" s="174">
        <f t="shared" si="72"/>
        <v>106</v>
      </c>
      <c r="HZ25" s="174">
        <f t="shared" si="73"/>
        <v>96</v>
      </c>
      <c r="IA25" s="174">
        <f t="shared" si="74"/>
        <v>93</v>
      </c>
      <c r="IB25" s="174">
        <f t="shared" si="75"/>
        <v>99</v>
      </c>
      <c r="IC25" s="174">
        <f t="shared" si="76"/>
        <v>86</v>
      </c>
      <c r="ID25" s="174">
        <f t="shared" si="77"/>
        <v>83</v>
      </c>
      <c r="IE25" s="174">
        <f t="shared" si="78"/>
        <v>76</v>
      </c>
      <c r="IF25" s="174">
        <f t="shared" si="79"/>
        <v>76</v>
      </c>
      <c r="IG25" s="174">
        <f t="shared" si="80"/>
        <v>56</v>
      </c>
      <c r="IH25" s="174">
        <f t="shared" si="81"/>
        <v>53</v>
      </c>
      <c r="II25" s="174">
        <f t="shared" si="82"/>
        <v>33</v>
      </c>
      <c r="IJ25" s="174">
        <v>25</v>
      </c>
      <c r="IN25" s="174">
        <f>LARGE($IN$35:$IN$38,2)</f>
        <v>-9.01</v>
      </c>
      <c r="IO25" s="174" t="str">
        <f>VLOOKUP(IN25,$IN$35:$IO$38,2,0)</f>
        <v>Sweeps 2</v>
      </c>
      <c r="IR25" s="174">
        <v>650000</v>
      </c>
      <c r="IS25" s="174">
        <v>23</v>
      </c>
    </row>
    <row r="26" spans="1:253" ht="13.35" customHeight="1" x14ac:dyDescent="0.2">
      <c r="A26" s="183">
        <f t="shared" si="1"/>
        <v>25</v>
      </c>
      <c r="B26" s="184">
        <f t="shared" si="34"/>
        <v>-2</v>
      </c>
      <c r="C26" s="183">
        <f t="shared" si="2"/>
        <v>25</v>
      </c>
      <c r="E26" s="189" t="s">
        <v>600</v>
      </c>
      <c r="F26" s="190" t="s">
        <v>994</v>
      </c>
      <c r="G26" s="190" t="s">
        <v>991</v>
      </c>
      <c r="H26" s="190" t="s">
        <v>993</v>
      </c>
      <c r="I26" s="190" t="s">
        <v>995</v>
      </c>
      <c r="J26" s="190" t="s">
        <v>991</v>
      </c>
      <c r="K26" s="190" t="s">
        <v>1009</v>
      </c>
      <c r="L26" s="190" t="s">
        <v>1009</v>
      </c>
      <c r="M26" s="190" t="s">
        <v>1009</v>
      </c>
      <c r="N26" s="190" t="s">
        <v>996</v>
      </c>
      <c r="O26" s="190" t="s">
        <v>1009</v>
      </c>
      <c r="P26" s="190" t="s">
        <v>1009</v>
      </c>
      <c r="Q26" s="190" t="s">
        <v>1009</v>
      </c>
      <c r="R26" s="190" t="s">
        <v>1009</v>
      </c>
      <c r="S26" s="190" t="s">
        <v>1009</v>
      </c>
      <c r="T26" s="190" t="s">
        <v>993</v>
      </c>
      <c r="U26" s="190" t="s">
        <v>995</v>
      </c>
      <c r="V26" s="190" t="s">
        <v>1010</v>
      </c>
      <c r="W26" s="190" t="s">
        <v>995</v>
      </c>
      <c r="X26" s="190" t="s">
        <v>1010</v>
      </c>
      <c r="Y26" s="190" t="s">
        <v>1010</v>
      </c>
      <c r="Z26" s="190"/>
      <c r="AA26" s="190" t="s">
        <v>1009</v>
      </c>
      <c r="AB26" s="190" t="s">
        <v>1009</v>
      </c>
      <c r="AC26" s="190" t="s">
        <v>1010</v>
      </c>
      <c r="AD26" s="190" t="s">
        <v>995</v>
      </c>
      <c r="AE26" s="190"/>
      <c r="AF26" s="190" t="s">
        <v>1009</v>
      </c>
      <c r="AG26" s="190" t="s">
        <v>1009</v>
      </c>
      <c r="AH26" s="190" t="s">
        <v>1010</v>
      </c>
      <c r="AI26" s="190"/>
      <c r="AJ26" s="190" t="s">
        <v>995</v>
      </c>
      <c r="AK26" s="190" t="s">
        <v>1009</v>
      </c>
      <c r="AL26" s="190" t="s">
        <v>1009</v>
      </c>
      <c r="AM26" s="190" t="s">
        <v>1009</v>
      </c>
      <c r="AN26" s="190"/>
      <c r="AO26" s="190" t="s">
        <v>991</v>
      </c>
      <c r="AP26" s="190" t="s">
        <v>1009</v>
      </c>
      <c r="AQ26" s="190" t="s">
        <v>995</v>
      </c>
      <c r="AR26" s="190"/>
      <c r="AS26" s="190" t="s">
        <v>1001</v>
      </c>
      <c r="AT26" s="190" t="s">
        <v>1001</v>
      </c>
      <c r="AU26" s="190" t="s">
        <v>1001</v>
      </c>
      <c r="AV26" s="190" t="s">
        <v>1001</v>
      </c>
      <c r="AW26" s="190" t="s">
        <v>1001</v>
      </c>
      <c r="AX26" s="190" t="s">
        <v>1001</v>
      </c>
      <c r="AY26" s="190" t="s">
        <v>1001</v>
      </c>
      <c r="AZ26" s="190" t="s">
        <v>1001</v>
      </c>
      <c r="BA26" s="190" t="s">
        <v>1001</v>
      </c>
      <c r="BB26" s="190" t="s">
        <v>1001</v>
      </c>
      <c r="BC26" s="190" t="s">
        <v>1001</v>
      </c>
      <c r="BD26" s="190" t="s">
        <v>1001</v>
      </c>
      <c r="BE26" s="190" t="s">
        <v>1001</v>
      </c>
      <c r="BF26" s="190" t="s">
        <v>1001</v>
      </c>
      <c r="BG26" s="190" t="s">
        <v>1001</v>
      </c>
      <c r="BH26" s="190" t="s">
        <v>1001</v>
      </c>
      <c r="BI26" s="190" t="s">
        <v>1001</v>
      </c>
      <c r="BJ26" s="190" t="s">
        <v>1001</v>
      </c>
      <c r="BK26" s="190" t="s">
        <v>1001</v>
      </c>
      <c r="BL26" s="190" t="s">
        <v>1001</v>
      </c>
      <c r="BM26" s="190" t="s">
        <v>1001</v>
      </c>
      <c r="BN26" s="190" t="s">
        <v>1001</v>
      </c>
      <c r="BO26" s="190" t="s">
        <v>1001</v>
      </c>
      <c r="BP26" s="190" t="s">
        <v>1001</v>
      </c>
      <c r="BQ26" s="190" t="s">
        <v>1001</v>
      </c>
      <c r="BR26" s="190" t="s">
        <v>1001</v>
      </c>
      <c r="BS26" s="190" t="s">
        <v>1001</v>
      </c>
      <c r="BT26" s="190" t="s">
        <v>1001</v>
      </c>
      <c r="BU26" s="190" t="s">
        <v>1001</v>
      </c>
      <c r="BV26" s="190" t="s">
        <v>1001</v>
      </c>
      <c r="BW26" s="190" t="s">
        <v>1001</v>
      </c>
      <c r="BX26" s="190" t="s">
        <v>1001</v>
      </c>
      <c r="BY26" s="190" t="s">
        <v>1001</v>
      </c>
      <c r="BZ26" s="190" t="s">
        <v>1001</v>
      </c>
      <c r="CA26" s="190" t="s">
        <v>1001</v>
      </c>
      <c r="CB26" s="190" t="s">
        <v>1001</v>
      </c>
      <c r="CC26" s="190" t="s">
        <v>1001</v>
      </c>
      <c r="CD26" s="190" t="s">
        <v>1001</v>
      </c>
      <c r="CE26" s="190" t="s">
        <v>1001</v>
      </c>
      <c r="CF26" s="190" t="s">
        <v>1001</v>
      </c>
      <c r="CG26" s="190" t="s">
        <v>1001</v>
      </c>
      <c r="CH26" s="190" t="s">
        <v>1001</v>
      </c>
      <c r="CI26" s="190" t="s">
        <v>1001</v>
      </c>
      <c r="CJ26" s="190" t="s">
        <v>1001</v>
      </c>
      <c r="CK26" s="190" t="s">
        <v>1001</v>
      </c>
      <c r="CL26" s="190" t="s">
        <v>1001</v>
      </c>
      <c r="CM26" s="190" t="s">
        <v>1001</v>
      </c>
      <c r="CN26" s="190" t="s">
        <v>1001</v>
      </c>
      <c r="CO26" s="190" t="s">
        <v>1001</v>
      </c>
      <c r="CP26" s="190" t="s">
        <v>1001</v>
      </c>
      <c r="CQ26" s="190" t="s">
        <v>1001</v>
      </c>
      <c r="CR26" s="190"/>
      <c r="CS26" s="190" t="s">
        <v>999</v>
      </c>
      <c r="CT26" s="190" t="s">
        <v>994</v>
      </c>
      <c r="CU26" s="190" t="s">
        <v>995</v>
      </c>
      <c r="CV26" s="190" t="s">
        <v>992</v>
      </c>
      <c r="CW26" s="190"/>
      <c r="CX26" s="190" t="s">
        <v>991</v>
      </c>
      <c r="CY26" s="190" t="s">
        <v>1009</v>
      </c>
      <c r="CZ26" s="190" t="s">
        <v>996</v>
      </c>
      <c r="DA26" s="190" t="s">
        <v>999</v>
      </c>
      <c r="DB26" s="190" t="s">
        <v>1009</v>
      </c>
      <c r="DC26" s="190" t="s">
        <v>1009</v>
      </c>
      <c r="DD26" s="190" t="s">
        <v>1009</v>
      </c>
      <c r="DE26" s="190"/>
      <c r="DF26" s="174">
        <v>25</v>
      </c>
      <c r="DH26" s="268" t="s">
        <v>4186</v>
      </c>
      <c r="DI26" s="268" t="s">
        <v>4198</v>
      </c>
      <c r="DJ26" s="268">
        <v>2</v>
      </c>
      <c r="DK26" s="268"/>
      <c r="DL26" s="268">
        <v>2</v>
      </c>
      <c r="DM26" s="268"/>
      <c r="DN26" s="268"/>
      <c r="DO26" s="268">
        <v>2</v>
      </c>
      <c r="DP26" s="268"/>
      <c r="DQ26" s="268">
        <v>2</v>
      </c>
      <c r="DR26" s="268"/>
      <c r="DS26" s="268"/>
      <c r="DT26" s="268"/>
      <c r="DU26" s="268"/>
      <c r="DV26" s="268"/>
      <c r="DW26" s="268"/>
      <c r="DX26" s="268">
        <v>5</v>
      </c>
      <c r="DY26" s="268">
        <v>1</v>
      </c>
      <c r="DZ26" s="268">
        <v>4</v>
      </c>
      <c r="EA26" s="268">
        <v>1</v>
      </c>
      <c r="EB26" s="268">
        <v>50</v>
      </c>
      <c r="EC26" s="174">
        <f t="shared" si="6"/>
        <v>8</v>
      </c>
      <c r="ED26" s="268" t="s">
        <v>4172</v>
      </c>
      <c r="EE26" s="174">
        <v>7654</v>
      </c>
      <c r="EF26" s="174">
        <v>6543</v>
      </c>
      <c r="EG26" s="174">
        <v>6543</v>
      </c>
      <c r="EH26" s="174">
        <v>6543</v>
      </c>
      <c r="EI26" s="174">
        <v>6543</v>
      </c>
      <c r="EJ26" s="174">
        <v>6543</v>
      </c>
      <c r="EK26" s="174">
        <v>6543</v>
      </c>
      <c r="EL26" s="174">
        <v>6421</v>
      </c>
      <c r="EN26" s="182" t="s">
        <v>617</v>
      </c>
      <c r="EO26" s="174">
        <v>2</v>
      </c>
      <c r="EP26" s="174">
        <v>1</v>
      </c>
      <c r="EQ26" s="174">
        <v>1</v>
      </c>
      <c r="EU26" s="174">
        <v>1</v>
      </c>
      <c r="EV26" s="174">
        <v>1</v>
      </c>
      <c r="EW26" s="174">
        <v>2</v>
      </c>
      <c r="EX26" s="174">
        <v>3</v>
      </c>
      <c r="EY26" s="174">
        <v>1</v>
      </c>
      <c r="EZ26" s="174">
        <v>1</v>
      </c>
      <c r="FA26" s="174">
        <v>2</v>
      </c>
      <c r="FB26" s="174">
        <v>1</v>
      </c>
      <c r="FC26" s="174">
        <v>1</v>
      </c>
      <c r="FN26" s="174">
        <v>4</v>
      </c>
      <c r="FP26" s="174">
        <v>6</v>
      </c>
      <c r="FQ26" s="174">
        <v>1</v>
      </c>
      <c r="FX26" s="174">
        <v>1</v>
      </c>
      <c r="HA26" s="174">
        <v>25</v>
      </c>
      <c r="HB26" s="197">
        <v>23</v>
      </c>
      <c r="HC26" s="183">
        <v>32</v>
      </c>
      <c r="HD26" s="183">
        <v>53</v>
      </c>
      <c r="HE26" s="194">
        <v>22</v>
      </c>
      <c r="HF26" s="183">
        <v>85</v>
      </c>
      <c r="HG26" s="193">
        <f t="shared" si="3"/>
        <v>83</v>
      </c>
      <c r="HH26" s="192" t="e">
        <f t="shared" si="7"/>
        <v>#REF!</v>
      </c>
      <c r="HI26" s="198">
        <v>22</v>
      </c>
      <c r="HJ26" s="185">
        <v>86</v>
      </c>
      <c r="HK26" s="174">
        <v>24</v>
      </c>
      <c r="HL26" s="174">
        <f t="shared" si="59"/>
        <v>160</v>
      </c>
      <c r="HM26" s="174">
        <f t="shared" si="60"/>
        <v>150</v>
      </c>
      <c r="HN26" s="174">
        <f t="shared" si="61"/>
        <v>136</v>
      </c>
      <c r="HO26" s="174">
        <f t="shared" si="62"/>
        <v>132</v>
      </c>
      <c r="HP26" s="174">
        <f t="shared" si="63"/>
        <v>132</v>
      </c>
      <c r="HQ26" s="174">
        <f t="shared" si="64"/>
        <v>128</v>
      </c>
      <c r="HR26" s="174">
        <f t="shared" si="65"/>
        <v>122</v>
      </c>
      <c r="HS26" s="174">
        <f t="shared" si="66"/>
        <v>118</v>
      </c>
      <c r="HT26" s="174">
        <f t="shared" si="67"/>
        <v>108</v>
      </c>
      <c r="HU26" s="174">
        <f t="shared" si="68"/>
        <v>126</v>
      </c>
      <c r="HV26" s="174">
        <f t="shared" si="69"/>
        <v>122</v>
      </c>
      <c r="HW26" s="174">
        <f t="shared" si="70"/>
        <v>118</v>
      </c>
      <c r="HX26" s="174">
        <f t="shared" si="71"/>
        <v>112</v>
      </c>
      <c r="HY26" s="174">
        <f t="shared" si="72"/>
        <v>108</v>
      </c>
      <c r="HZ26" s="174">
        <f t="shared" si="73"/>
        <v>98</v>
      </c>
      <c r="IA26" s="174">
        <f t="shared" si="74"/>
        <v>94</v>
      </c>
      <c r="IB26" s="174">
        <f t="shared" si="75"/>
        <v>102</v>
      </c>
      <c r="IC26" s="174">
        <f t="shared" si="76"/>
        <v>88</v>
      </c>
      <c r="ID26" s="174">
        <f t="shared" si="77"/>
        <v>84</v>
      </c>
      <c r="IE26" s="174">
        <f t="shared" si="78"/>
        <v>78</v>
      </c>
      <c r="IF26" s="174">
        <f t="shared" si="79"/>
        <v>78</v>
      </c>
      <c r="IG26" s="174">
        <f t="shared" si="80"/>
        <v>58</v>
      </c>
      <c r="IH26" s="174">
        <f t="shared" si="81"/>
        <v>54</v>
      </c>
      <c r="II26" s="174">
        <f t="shared" si="82"/>
        <v>34</v>
      </c>
      <c r="IJ26" s="174">
        <v>26</v>
      </c>
      <c r="IN26" s="174">
        <f>LARGE($IN$35:$IN$38,3)</f>
        <v>-21.009999999999998</v>
      </c>
      <c r="IO26" s="174" t="str">
        <f>VLOOKUP(IN26,$IN$35:$IO$38,2,0)</f>
        <v>Sweeps 4</v>
      </c>
      <c r="IR26" s="174">
        <v>700000</v>
      </c>
      <c r="IS26" s="174">
        <v>24</v>
      </c>
    </row>
    <row r="27" spans="1:253" ht="13.35" customHeight="1" x14ac:dyDescent="0.2">
      <c r="A27" s="183">
        <f t="shared" si="1"/>
        <v>26</v>
      </c>
      <c r="B27" s="184">
        <f t="shared" si="34"/>
        <v>-1</v>
      </c>
      <c r="C27" s="183">
        <f t="shared" si="2"/>
        <v>26</v>
      </c>
      <c r="E27" s="189" t="s">
        <v>607</v>
      </c>
      <c r="F27" s="190" t="s">
        <v>991</v>
      </c>
      <c r="G27" s="190" t="s">
        <v>995</v>
      </c>
      <c r="H27" s="190" t="s">
        <v>992</v>
      </c>
      <c r="I27" s="190" t="s">
        <v>995</v>
      </c>
      <c r="J27" s="190" t="s">
        <v>991</v>
      </c>
      <c r="K27" s="190" t="s">
        <v>1009</v>
      </c>
      <c r="L27" s="190" t="s">
        <v>1009</v>
      </c>
      <c r="M27" s="190" t="s">
        <v>1010</v>
      </c>
      <c r="N27" s="190" t="s">
        <v>996</v>
      </c>
      <c r="O27" s="190" t="s">
        <v>1009</v>
      </c>
      <c r="P27" s="190" t="s">
        <v>1009</v>
      </c>
      <c r="Q27" s="190" t="s">
        <v>1009</v>
      </c>
      <c r="R27" s="190" t="s">
        <v>1009</v>
      </c>
      <c r="S27" s="190" t="s">
        <v>1009</v>
      </c>
      <c r="T27" s="190" t="s">
        <v>999</v>
      </c>
      <c r="U27" s="190" t="s">
        <v>995</v>
      </c>
      <c r="V27" s="190" t="s">
        <v>995</v>
      </c>
      <c r="W27" s="190" t="s">
        <v>995</v>
      </c>
      <c r="X27" s="190" t="s">
        <v>995</v>
      </c>
      <c r="Y27" s="190" t="s">
        <v>995</v>
      </c>
      <c r="Z27" s="190"/>
      <c r="AA27" s="190" t="s">
        <v>1009</v>
      </c>
      <c r="AB27" s="190" t="s">
        <v>1009</v>
      </c>
      <c r="AC27" s="190" t="s">
        <v>995</v>
      </c>
      <c r="AD27" s="190" t="s">
        <v>993</v>
      </c>
      <c r="AE27" s="190"/>
      <c r="AF27" s="190" t="s">
        <v>1009</v>
      </c>
      <c r="AG27" s="190" t="s">
        <v>1009</v>
      </c>
      <c r="AH27" s="190" t="s">
        <v>1010</v>
      </c>
      <c r="AI27" s="190"/>
      <c r="AJ27" s="190" t="s">
        <v>995</v>
      </c>
      <c r="AK27" s="190" t="s">
        <v>1009</v>
      </c>
      <c r="AL27" s="190" t="s">
        <v>1006</v>
      </c>
      <c r="AM27" s="190" t="s">
        <v>991</v>
      </c>
      <c r="AN27" s="190"/>
      <c r="AO27" s="190" t="s">
        <v>1009</v>
      </c>
      <c r="AP27" s="190" t="s">
        <v>1009</v>
      </c>
      <c r="AQ27" s="190" t="s">
        <v>995</v>
      </c>
      <c r="AR27" s="190"/>
      <c r="AS27" s="190" t="s">
        <v>1001</v>
      </c>
      <c r="AT27" s="190" t="s">
        <v>1001</v>
      </c>
      <c r="AU27" s="190" t="s">
        <v>1001</v>
      </c>
      <c r="AV27" s="190" t="s">
        <v>1001</v>
      </c>
      <c r="AW27" s="190" t="s">
        <v>1001</v>
      </c>
      <c r="AX27" s="190" t="s">
        <v>1001</v>
      </c>
      <c r="AY27" s="190" t="s">
        <v>1001</v>
      </c>
      <c r="AZ27" s="190" t="s">
        <v>1001</v>
      </c>
      <c r="BA27" s="190" t="s">
        <v>1001</v>
      </c>
      <c r="BB27" s="190" t="s">
        <v>1001</v>
      </c>
      <c r="BC27" s="190" t="s">
        <v>1001</v>
      </c>
      <c r="BD27" s="190" t="s">
        <v>1001</v>
      </c>
      <c r="BE27" s="190" t="s">
        <v>1001</v>
      </c>
      <c r="BF27" s="190" t="s">
        <v>1001</v>
      </c>
      <c r="BG27" s="190" t="s">
        <v>1001</v>
      </c>
      <c r="BH27" s="190" t="s">
        <v>1001</v>
      </c>
      <c r="BI27" s="190" t="s">
        <v>1001</v>
      </c>
      <c r="BJ27" s="190" t="s">
        <v>1001</v>
      </c>
      <c r="BK27" s="190" t="s">
        <v>1001</v>
      </c>
      <c r="BL27" s="190" t="s">
        <v>1001</v>
      </c>
      <c r="BM27" s="190" t="s">
        <v>1001</v>
      </c>
      <c r="BN27" s="190" t="s">
        <v>1001</v>
      </c>
      <c r="BO27" s="190" t="s">
        <v>1001</v>
      </c>
      <c r="BP27" s="190" t="s">
        <v>1001</v>
      </c>
      <c r="BQ27" s="190" t="s">
        <v>1001</v>
      </c>
      <c r="BR27" s="190" t="s">
        <v>1001</v>
      </c>
      <c r="BS27" s="190" t="s">
        <v>1001</v>
      </c>
      <c r="BT27" s="190" t="s">
        <v>1001</v>
      </c>
      <c r="BU27" s="190" t="s">
        <v>1001</v>
      </c>
      <c r="BV27" s="190" t="s">
        <v>1001</v>
      </c>
      <c r="BW27" s="190" t="s">
        <v>1001</v>
      </c>
      <c r="BX27" s="190" t="s">
        <v>1001</v>
      </c>
      <c r="BY27" s="190" t="s">
        <v>1001</v>
      </c>
      <c r="BZ27" s="190" t="s">
        <v>1001</v>
      </c>
      <c r="CA27" s="190" t="s">
        <v>1001</v>
      </c>
      <c r="CB27" s="190" t="s">
        <v>1001</v>
      </c>
      <c r="CC27" s="190" t="s">
        <v>1001</v>
      </c>
      <c r="CD27" s="190" t="s">
        <v>1001</v>
      </c>
      <c r="CE27" s="190" t="s">
        <v>1001</v>
      </c>
      <c r="CF27" s="190" t="s">
        <v>1001</v>
      </c>
      <c r="CG27" s="190" t="s">
        <v>1001</v>
      </c>
      <c r="CH27" s="190" t="s">
        <v>1001</v>
      </c>
      <c r="CI27" s="190" t="s">
        <v>1001</v>
      </c>
      <c r="CJ27" s="190" t="s">
        <v>1001</v>
      </c>
      <c r="CK27" s="190" t="s">
        <v>1001</v>
      </c>
      <c r="CL27" s="190" t="s">
        <v>1001</v>
      </c>
      <c r="CM27" s="190" t="s">
        <v>1001</v>
      </c>
      <c r="CN27" s="190" t="s">
        <v>1001</v>
      </c>
      <c r="CO27" s="190" t="s">
        <v>1001</v>
      </c>
      <c r="CP27" s="190" t="s">
        <v>1001</v>
      </c>
      <c r="CQ27" s="190" t="s">
        <v>1001</v>
      </c>
      <c r="CR27" s="190"/>
      <c r="CS27" s="190" t="s">
        <v>999</v>
      </c>
      <c r="CT27" s="190" t="s">
        <v>992</v>
      </c>
      <c r="CU27" s="190" t="s">
        <v>995</v>
      </c>
      <c r="CV27" s="190" t="s">
        <v>995</v>
      </c>
      <c r="CW27" s="190"/>
      <c r="CX27" s="190" t="s">
        <v>993</v>
      </c>
      <c r="CY27" s="190" t="s">
        <v>1010</v>
      </c>
      <c r="CZ27" s="190" t="s">
        <v>996</v>
      </c>
      <c r="DA27" s="190" t="s">
        <v>999</v>
      </c>
      <c r="DB27" s="190" t="s">
        <v>1009</v>
      </c>
      <c r="DC27" s="190" t="s">
        <v>1010</v>
      </c>
      <c r="DD27" s="190" t="s">
        <v>1009</v>
      </c>
      <c r="DE27" s="190"/>
      <c r="DF27" s="174">
        <v>26</v>
      </c>
      <c r="DH27" s="268" t="s">
        <v>4186</v>
      </c>
      <c r="DI27" s="268" t="s">
        <v>4199</v>
      </c>
      <c r="DJ27" s="268"/>
      <c r="DK27" s="268"/>
      <c r="DL27" s="268">
        <v>2</v>
      </c>
      <c r="DM27" s="268"/>
      <c r="DN27" s="268"/>
      <c r="DO27" s="268">
        <v>2</v>
      </c>
      <c r="DP27" s="268"/>
      <c r="DQ27" s="268">
        <v>2</v>
      </c>
      <c r="DR27" s="268"/>
      <c r="DS27" s="268"/>
      <c r="DT27" s="268"/>
      <c r="DU27" s="268"/>
      <c r="DV27" s="268"/>
      <c r="DW27" s="268"/>
      <c r="DX27" s="268"/>
      <c r="DY27" s="268">
        <v>1</v>
      </c>
      <c r="DZ27" s="268">
        <v>5</v>
      </c>
      <c r="EA27" s="268">
        <v>0.9</v>
      </c>
      <c r="EB27" s="268">
        <v>50</v>
      </c>
      <c r="EC27" s="174">
        <f t="shared" si="6"/>
        <v>6</v>
      </c>
      <c r="ED27" s="268" t="s">
        <v>4425</v>
      </c>
      <c r="EE27" s="174">
        <v>3211</v>
      </c>
      <c r="EF27" s="174">
        <v>6543</v>
      </c>
      <c r="EG27" s="174">
        <v>3211</v>
      </c>
      <c r="EH27" s="174">
        <v>4322</v>
      </c>
      <c r="EI27" s="174">
        <v>2111</v>
      </c>
      <c r="EJ27" s="174">
        <v>4322</v>
      </c>
      <c r="EK27" s="174">
        <v>2111</v>
      </c>
      <c r="EL27" s="174">
        <v>7521</v>
      </c>
      <c r="EN27" s="182" t="s">
        <v>1055</v>
      </c>
      <c r="EO27" s="174">
        <v>2</v>
      </c>
      <c r="EP27" s="174">
        <v>2</v>
      </c>
      <c r="EQ27" s="174">
        <v>2</v>
      </c>
      <c r="ER27" s="174">
        <v>1</v>
      </c>
      <c r="ES27" s="174">
        <v>1</v>
      </c>
      <c r="ET27" s="174">
        <v>1</v>
      </c>
      <c r="EU27" s="174">
        <v>1</v>
      </c>
      <c r="EV27" s="174">
        <v>1</v>
      </c>
      <c r="EW27" s="174">
        <v>1</v>
      </c>
      <c r="EX27" s="174">
        <v>2</v>
      </c>
      <c r="EZ27" s="174">
        <v>1</v>
      </c>
      <c r="FA27" s="174">
        <v>4</v>
      </c>
      <c r="FB27" s="174">
        <v>2</v>
      </c>
      <c r="FC27" s="174">
        <v>4</v>
      </c>
      <c r="FI27" s="174">
        <v>1</v>
      </c>
      <c r="FN27" s="174">
        <v>3</v>
      </c>
      <c r="FO27" s="174">
        <v>1</v>
      </c>
      <c r="FP27" s="174">
        <v>2</v>
      </c>
      <c r="FX27" s="174">
        <v>1</v>
      </c>
      <c r="HA27" s="174">
        <v>26</v>
      </c>
      <c r="HB27" s="197">
        <v>24</v>
      </c>
      <c r="HC27" s="183">
        <v>32</v>
      </c>
      <c r="HD27" s="183">
        <v>54</v>
      </c>
      <c r="HE27" s="194">
        <v>22</v>
      </c>
      <c r="HF27" s="183">
        <v>86</v>
      </c>
      <c r="HG27" s="193">
        <f t="shared" si="3"/>
        <v>84</v>
      </c>
      <c r="HH27" s="192" t="e">
        <f t="shared" si="7"/>
        <v>#REF!</v>
      </c>
      <c r="HI27" s="198">
        <v>22</v>
      </c>
      <c r="HJ27" s="185">
        <v>88</v>
      </c>
      <c r="HK27" s="174">
        <v>25</v>
      </c>
      <c r="HL27" s="174">
        <f t="shared" si="59"/>
        <v>165</v>
      </c>
      <c r="HM27" s="174">
        <f t="shared" si="60"/>
        <v>155</v>
      </c>
      <c r="HN27" s="174">
        <f t="shared" si="61"/>
        <v>140</v>
      </c>
      <c r="HO27" s="174">
        <f t="shared" si="62"/>
        <v>135</v>
      </c>
      <c r="HP27" s="174">
        <f t="shared" si="63"/>
        <v>135</v>
      </c>
      <c r="HQ27" s="174">
        <f t="shared" si="64"/>
        <v>130</v>
      </c>
      <c r="HR27" s="174">
        <f t="shared" si="65"/>
        <v>125</v>
      </c>
      <c r="HS27" s="174">
        <f t="shared" si="66"/>
        <v>120</v>
      </c>
      <c r="HT27" s="174">
        <f t="shared" si="67"/>
        <v>110</v>
      </c>
      <c r="HU27" s="174">
        <f t="shared" si="68"/>
        <v>130</v>
      </c>
      <c r="HV27" s="174">
        <f t="shared" si="69"/>
        <v>125</v>
      </c>
      <c r="HW27" s="174">
        <f t="shared" si="70"/>
        <v>120</v>
      </c>
      <c r="HX27" s="174">
        <f t="shared" si="71"/>
        <v>115</v>
      </c>
      <c r="HY27" s="174">
        <f t="shared" si="72"/>
        <v>110</v>
      </c>
      <c r="HZ27" s="174">
        <f t="shared" si="73"/>
        <v>100</v>
      </c>
      <c r="IA27" s="174">
        <f t="shared" si="74"/>
        <v>95</v>
      </c>
      <c r="IB27" s="174">
        <f t="shared" si="75"/>
        <v>105</v>
      </c>
      <c r="IC27" s="174">
        <f t="shared" si="76"/>
        <v>90</v>
      </c>
      <c r="ID27" s="174">
        <f t="shared" si="77"/>
        <v>85</v>
      </c>
      <c r="IE27" s="174">
        <f t="shared" si="78"/>
        <v>80</v>
      </c>
      <c r="IF27" s="174">
        <f t="shared" si="79"/>
        <v>80</v>
      </c>
      <c r="IG27" s="174">
        <f t="shared" si="80"/>
        <v>60</v>
      </c>
      <c r="IH27" s="174">
        <f t="shared" si="81"/>
        <v>55</v>
      </c>
      <c r="II27" s="174">
        <f t="shared" si="82"/>
        <v>35</v>
      </c>
      <c r="IJ27" s="174">
        <v>27</v>
      </c>
      <c r="IN27" s="174">
        <f>LARGE($IN$35:$IN$38,4)</f>
        <v>-21.009999999999998</v>
      </c>
      <c r="IO27" s="174" t="str">
        <f>VLOOKUP(IN27,$IN$35:$IO$38,2,0)</f>
        <v>Sweeps 4</v>
      </c>
      <c r="IR27" s="174">
        <v>750000</v>
      </c>
      <c r="IS27" s="174">
        <v>25</v>
      </c>
    </row>
    <row r="28" spans="1:253" ht="13.35" customHeight="1" x14ac:dyDescent="0.2">
      <c r="A28" s="183">
        <f t="shared" si="1"/>
        <v>27</v>
      </c>
      <c r="B28" s="184">
        <f t="shared" si="34"/>
        <v>-1</v>
      </c>
      <c r="C28" s="183">
        <f t="shared" si="2"/>
        <v>27</v>
      </c>
      <c r="E28" s="189" t="s">
        <v>617</v>
      </c>
      <c r="F28" s="190" t="s">
        <v>988</v>
      </c>
      <c r="G28" s="190" t="s">
        <v>1002</v>
      </c>
      <c r="H28" s="190" t="s">
        <v>1003</v>
      </c>
      <c r="I28" s="190" t="s">
        <v>988</v>
      </c>
      <c r="J28" s="190" t="s">
        <v>1056</v>
      </c>
      <c r="K28" s="190" t="s">
        <v>994</v>
      </c>
      <c r="L28" s="190" t="s">
        <v>994</v>
      </c>
      <c r="M28" s="190" t="s">
        <v>991</v>
      </c>
      <c r="N28" s="190" t="s">
        <v>995</v>
      </c>
      <c r="O28" s="190" t="s">
        <v>991</v>
      </c>
      <c r="P28" s="190" t="s">
        <v>995</v>
      </c>
      <c r="Q28" s="190" t="s">
        <v>995</v>
      </c>
      <c r="R28" s="190" t="s">
        <v>991</v>
      </c>
      <c r="S28" s="190" t="s">
        <v>991</v>
      </c>
      <c r="T28" s="190" t="s">
        <v>1004</v>
      </c>
      <c r="U28" s="190" t="s">
        <v>1002</v>
      </c>
      <c r="V28" s="190" t="s">
        <v>1006</v>
      </c>
      <c r="W28" s="190" t="s">
        <v>1010</v>
      </c>
      <c r="X28" s="190" t="s">
        <v>1001</v>
      </c>
      <c r="Y28" s="190" t="s">
        <v>1006</v>
      </c>
      <c r="Z28" s="190"/>
      <c r="AA28" s="190" t="s">
        <v>999</v>
      </c>
      <c r="AB28" s="190" t="s">
        <v>999</v>
      </c>
      <c r="AC28" s="190" t="s">
        <v>992</v>
      </c>
      <c r="AD28" s="190" t="s">
        <v>993</v>
      </c>
      <c r="AE28" s="190"/>
      <c r="AF28" s="190" t="s">
        <v>994</v>
      </c>
      <c r="AG28" s="190" t="s">
        <v>994</v>
      </c>
      <c r="AH28" s="190" t="s">
        <v>1010</v>
      </c>
      <c r="AI28" s="190"/>
      <c r="AJ28" s="190" t="s">
        <v>1029</v>
      </c>
      <c r="AK28" s="190" t="s">
        <v>991</v>
      </c>
      <c r="AL28" s="190" t="s">
        <v>995</v>
      </c>
      <c r="AM28" s="190" t="s">
        <v>995</v>
      </c>
      <c r="AN28" s="190"/>
      <c r="AO28" s="190" t="s">
        <v>992</v>
      </c>
      <c r="AP28" s="190" t="s">
        <v>991</v>
      </c>
      <c r="AQ28" s="190" t="s">
        <v>1004</v>
      </c>
      <c r="AR28" s="190"/>
      <c r="AS28" s="190" t="s">
        <v>991</v>
      </c>
      <c r="AT28" s="190" t="s">
        <v>991</v>
      </c>
      <c r="AU28" s="190" t="s">
        <v>991</v>
      </c>
      <c r="AV28" s="190" t="s">
        <v>991</v>
      </c>
      <c r="AW28" s="190" t="s">
        <v>991</v>
      </c>
      <c r="AX28" s="190" t="s">
        <v>991</v>
      </c>
      <c r="AY28" s="190" t="s">
        <v>991</v>
      </c>
      <c r="AZ28" s="190" t="s">
        <v>991</v>
      </c>
      <c r="BA28" s="190" t="s">
        <v>991</v>
      </c>
      <c r="BB28" s="190" t="s">
        <v>991</v>
      </c>
      <c r="BC28" s="190" t="s">
        <v>991</v>
      </c>
      <c r="BD28" s="190" t="s">
        <v>991</v>
      </c>
      <c r="BE28" s="190" t="s">
        <v>991</v>
      </c>
      <c r="BF28" s="190" t="s">
        <v>991</v>
      </c>
      <c r="BG28" s="190" t="s">
        <v>991</v>
      </c>
      <c r="BH28" s="190" t="s">
        <v>991</v>
      </c>
      <c r="BI28" s="190" t="s">
        <v>991</v>
      </c>
      <c r="BJ28" s="190" t="s">
        <v>991</v>
      </c>
      <c r="BK28" s="190" t="s">
        <v>991</v>
      </c>
      <c r="BL28" s="190" t="s">
        <v>991</v>
      </c>
      <c r="BM28" s="190" t="s">
        <v>991</v>
      </c>
      <c r="BN28" s="190" t="s">
        <v>991</v>
      </c>
      <c r="BO28" s="190" t="s">
        <v>991</v>
      </c>
      <c r="BP28" s="190" t="s">
        <v>991</v>
      </c>
      <c r="BQ28" s="190" t="s">
        <v>991</v>
      </c>
      <c r="BR28" s="190" t="s">
        <v>991</v>
      </c>
      <c r="BS28" s="190" t="s">
        <v>991</v>
      </c>
      <c r="BT28" s="190" t="s">
        <v>991</v>
      </c>
      <c r="BU28" s="190" t="s">
        <v>991</v>
      </c>
      <c r="BV28" s="190" t="s">
        <v>991</v>
      </c>
      <c r="BW28" s="190" t="s">
        <v>991</v>
      </c>
      <c r="BX28" s="190" t="s">
        <v>991</v>
      </c>
      <c r="BY28" s="190" t="s">
        <v>991</v>
      </c>
      <c r="BZ28" s="190" t="s">
        <v>991</v>
      </c>
      <c r="CA28" s="190" t="s">
        <v>991</v>
      </c>
      <c r="CB28" s="190" t="s">
        <v>991</v>
      </c>
      <c r="CC28" s="190" t="s">
        <v>991</v>
      </c>
      <c r="CD28" s="190" t="s">
        <v>991</v>
      </c>
      <c r="CE28" s="190" t="s">
        <v>991</v>
      </c>
      <c r="CF28" s="190" t="s">
        <v>991</v>
      </c>
      <c r="CG28" s="190" t="s">
        <v>991</v>
      </c>
      <c r="CH28" s="190" t="s">
        <v>991</v>
      </c>
      <c r="CI28" s="190" t="s">
        <v>991</v>
      </c>
      <c r="CJ28" s="190" t="s">
        <v>991</v>
      </c>
      <c r="CK28" s="190" t="s">
        <v>991</v>
      </c>
      <c r="CL28" s="190" t="s">
        <v>991</v>
      </c>
      <c r="CM28" s="190" t="s">
        <v>991</v>
      </c>
      <c r="CN28" s="190" t="s">
        <v>991</v>
      </c>
      <c r="CO28" s="190" t="s">
        <v>991</v>
      </c>
      <c r="CP28" s="190" t="s">
        <v>991</v>
      </c>
      <c r="CQ28" s="190" t="s">
        <v>991</v>
      </c>
      <c r="CR28" s="190"/>
      <c r="CS28" s="190" t="s">
        <v>988</v>
      </c>
      <c r="CT28" s="190" t="s">
        <v>1003</v>
      </c>
      <c r="CU28" s="190" t="s">
        <v>1002</v>
      </c>
      <c r="CV28" s="190" t="s">
        <v>1003</v>
      </c>
      <c r="CW28" s="190"/>
      <c r="CX28" s="190" t="s">
        <v>1001</v>
      </c>
      <c r="CY28" s="190" t="s">
        <v>991</v>
      </c>
      <c r="CZ28" s="190" t="s">
        <v>995</v>
      </c>
      <c r="DA28" s="190" t="s">
        <v>988</v>
      </c>
      <c r="DB28" s="190" t="s">
        <v>994</v>
      </c>
      <c r="DC28" s="190" t="s">
        <v>991</v>
      </c>
      <c r="DD28" s="190" t="s">
        <v>991</v>
      </c>
      <c r="DE28" s="190"/>
      <c r="DF28" s="174">
        <v>27</v>
      </c>
      <c r="DH28" s="268" t="s">
        <v>4186</v>
      </c>
      <c r="DI28" s="268" t="s">
        <v>4200</v>
      </c>
      <c r="DJ28" s="268">
        <v>2</v>
      </c>
      <c r="DK28" s="268"/>
      <c r="DL28" s="268">
        <v>2</v>
      </c>
      <c r="DM28" s="268"/>
      <c r="DN28" s="268"/>
      <c r="DO28" s="268">
        <v>2</v>
      </c>
      <c r="DP28" s="268"/>
      <c r="DQ28" s="268">
        <v>2</v>
      </c>
      <c r="DR28" s="268"/>
      <c r="DS28" s="268"/>
      <c r="DT28" s="268"/>
      <c r="DU28" s="268"/>
      <c r="DV28" s="268"/>
      <c r="DW28" s="268"/>
      <c r="DX28" s="268"/>
      <c r="DY28" s="268">
        <v>1</v>
      </c>
      <c r="DZ28" s="268">
        <v>5</v>
      </c>
      <c r="EA28" s="268">
        <v>1</v>
      </c>
      <c r="EB28" s="268">
        <v>45</v>
      </c>
      <c r="EC28" s="174">
        <f t="shared" si="6"/>
        <v>8</v>
      </c>
      <c r="ED28" s="268" t="s">
        <v>4190</v>
      </c>
      <c r="EE28" s="174">
        <v>6543</v>
      </c>
      <c r="EF28" s="174">
        <v>6543</v>
      </c>
      <c r="EG28" s="174">
        <v>7654</v>
      </c>
      <c r="EH28" s="174">
        <v>6543</v>
      </c>
      <c r="EI28" s="174">
        <v>6543</v>
      </c>
      <c r="EJ28" s="174">
        <v>6543</v>
      </c>
      <c r="EK28" s="174">
        <v>6543</v>
      </c>
      <c r="EL28" s="174">
        <v>6521</v>
      </c>
      <c r="EN28" s="182"/>
      <c r="HA28" s="174">
        <v>27</v>
      </c>
      <c r="HB28" s="197">
        <v>25</v>
      </c>
      <c r="HC28" s="183">
        <v>33</v>
      </c>
      <c r="HD28" s="183">
        <v>55</v>
      </c>
      <c r="HE28" s="194">
        <v>23</v>
      </c>
      <c r="HF28" s="183">
        <v>88</v>
      </c>
      <c r="HG28" s="193">
        <f t="shared" si="3"/>
        <v>85</v>
      </c>
      <c r="HH28" s="192" t="e">
        <f t="shared" si="7"/>
        <v>#REF!</v>
      </c>
      <c r="HI28" s="198">
        <v>23</v>
      </c>
      <c r="HJ28" s="185">
        <v>90</v>
      </c>
      <c r="HK28" s="174">
        <v>26</v>
      </c>
      <c r="HL28" s="174">
        <f t="shared" si="59"/>
        <v>170</v>
      </c>
      <c r="HM28" s="174">
        <f t="shared" si="60"/>
        <v>160</v>
      </c>
      <c r="HN28" s="174">
        <f t="shared" si="61"/>
        <v>144</v>
      </c>
      <c r="HO28" s="174">
        <f t="shared" si="62"/>
        <v>138</v>
      </c>
      <c r="HP28" s="174">
        <f t="shared" si="63"/>
        <v>138</v>
      </c>
      <c r="HQ28" s="174">
        <f t="shared" si="64"/>
        <v>132</v>
      </c>
      <c r="HR28" s="174">
        <f t="shared" si="65"/>
        <v>128</v>
      </c>
      <c r="HS28" s="174">
        <f t="shared" si="66"/>
        <v>122</v>
      </c>
      <c r="HT28" s="174">
        <f t="shared" si="67"/>
        <v>112</v>
      </c>
      <c r="HU28" s="174">
        <f t="shared" si="68"/>
        <v>134</v>
      </c>
      <c r="HV28" s="174">
        <f t="shared" si="69"/>
        <v>128</v>
      </c>
      <c r="HW28" s="174">
        <f t="shared" si="70"/>
        <v>122</v>
      </c>
      <c r="HX28" s="174">
        <f t="shared" si="71"/>
        <v>118</v>
      </c>
      <c r="HY28" s="174">
        <f t="shared" si="72"/>
        <v>112</v>
      </c>
      <c r="HZ28" s="174">
        <f t="shared" si="73"/>
        <v>102</v>
      </c>
      <c r="IA28" s="174">
        <f t="shared" si="74"/>
        <v>96</v>
      </c>
      <c r="IB28" s="174">
        <f t="shared" si="75"/>
        <v>108</v>
      </c>
      <c r="IC28" s="174">
        <f t="shared" si="76"/>
        <v>92</v>
      </c>
      <c r="ID28" s="174">
        <f t="shared" si="77"/>
        <v>86</v>
      </c>
      <c r="IE28" s="174">
        <f t="shared" si="78"/>
        <v>82</v>
      </c>
      <c r="IF28" s="174">
        <f t="shared" si="79"/>
        <v>82</v>
      </c>
      <c r="IG28" s="174">
        <f t="shared" si="80"/>
        <v>62</v>
      </c>
      <c r="IH28" s="174">
        <f t="shared" si="81"/>
        <v>56</v>
      </c>
      <c r="II28" s="174">
        <f t="shared" si="82"/>
        <v>36</v>
      </c>
      <c r="IJ28" s="174">
        <v>28</v>
      </c>
      <c r="IN28" s="174">
        <f>LARGE($IN$40:$IN$43,1)</f>
        <v>-21.009999999999998</v>
      </c>
      <c r="IO28" s="174" t="str">
        <f>VLOOKUP(IN28,$IN$40:$IO$43,2,0)</f>
        <v>Strikes 4</v>
      </c>
      <c r="IR28" s="174">
        <v>800000</v>
      </c>
      <c r="IS28" s="174">
        <v>26</v>
      </c>
    </row>
    <row r="29" spans="1:253" ht="13.35" customHeight="1" x14ac:dyDescent="0.2">
      <c r="A29" s="183">
        <f t="shared" si="1"/>
        <v>28</v>
      </c>
      <c r="B29" s="184">
        <f t="shared" si="34"/>
        <v>-1</v>
      </c>
      <c r="C29" s="183">
        <f t="shared" si="2"/>
        <v>28</v>
      </c>
      <c r="E29" s="189" t="s">
        <v>622</v>
      </c>
      <c r="F29" s="190" t="s">
        <v>1037</v>
      </c>
      <c r="G29" s="190" t="s">
        <v>1037</v>
      </c>
      <c r="H29" s="190" t="s">
        <v>1031</v>
      </c>
      <c r="I29" s="190" t="s">
        <v>1038</v>
      </c>
      <c r="J29" s="190" t="s">
        <v>988</v>
      </c>
      <c r="K29" s="190" t="s">
        <v>1029</v>
      </c>
      <c r="L29" s="190" t="s">
        <v>1029</v>
      </c>
      <c r="M29" s="190" t="s">
        <v>1029</v>
      </c>
      <c r="N29" s="190" t="s">
        <v>1029</v>
      </c>
      <c r="O29" s="190" t="s">
        <v>1029</v>
      </c>
      <c r="P29" s="190" t="s">
        <v>1029</v>
      </c>
      <c r="Q29" s="190" t="s">
        <v>1029</v>
      </c>
      <c r="R29" s="190" t="s">
        <v>1029</v>
      </c>
      <c r="S29" s="190" t="s">
        <v>1029</v>
      </c>
      <c r="T29" s="190" t="s">
        <v>1039</v>
      </c>
      <c r="U29" s="190" t="s">
        <v>1039</v>
      </c>
      <c r="V29" s="190" t="s">
        <v>1039</v>
      </c>
      <c r="W29" s="190" t="s">
        <v>1039</v>
      </c>
      <c r="X29" s="190" t="s">
        <v>1039</v>
      </c>
      <c r="Y29" s="190" t="s">
        <v>1039</v>
      </c>
      <c r="Z29" s="190"/>
      <c r="AA29" s="190" t="s">
        <v>1007</v>
      </c>
      <c r="AB29" s="190" t="s">
        <v>1006</v>
      </c>
      <c r="AC29" s="190" t="s">
        <v>1029</v>
      </c>
      <c r="AD29" s="190" t="s">
        <v>1039</v>
      </c>
      <c r="AE29" s="190"/>
      <c r="AF29" s="190" t="s">
        <v>1029</v>
      </c>
      <c r="AG29" s="190" t="s">
        <v>1007</v>
      </c>
      <c r="AH29" s="190" t="s">
        <v>1039</v>
      </c>
      <c r="AI29" s="190"/>
      <c r="AJ29" s="190" t="s">
        <v>1039</v>
      </c>
      <c r="AK29" s="190" t="s">
        <v>1029</v>
      </c>
      <c r="AL29" s="190" t="s">
        <v>1029</v>
      </c>
      <c r="AM29" s="190" t="s">
        <v>1029</v>
      </c>
      <c r="AN29" s="190"/>
      <c r="AO29" s="190" t="s">
        <v>1029</v>
      </c>
      <c r="AP29" s="190" t="s">
        <v>1029</v>
      </c>
      <c r="AQ29" s="190" t="s">
        <v>1039</v>
      </c>
      <c r="AR29" s="190"/>
      <c r="AS29" s="190" t="s">
        <v>1029</v>
      </c>
      <c r="AT29" s="190" t="s">
        <v>1029</v>
      </c>
      <c r="AU29" s="190" t="s">
        <v>1029</v>
      </c>
      <c r="AV29" s="190" t="s">
        <v>1029</v>
      </c>
      <c r="AW29" s="190" t="s">
        <v>1029</v>
      </c>
      <c r="AX29" s="190" t="s">
        <v>1029</v>
      </c>
      <c r="AY29" s="190" t="s">
        <v>1029</v>
      </c>
      <c r="AZ29" s="190" t="s">
        <v>1029</v>
      </c>
      <c r="BA29" s="190" t="s">
        <v>1029</v>
      </c>
      <c r="BB29" s="190" t="s">
        <v>1029</v>
      </c>
      <c r="BC29" s="190" t="s">
        <v>1029</v>
      </c>
      <c r="BD29" s="190" t="s">
        <v>1029</v>
      </c>
      <c r="BE29" s="190" t="s">
        <v>1029</v>
      </c>
      <c r="BF29" s="190" t="s">
        <v>1029</v>
      </c>
      <c r="BG29" s="190" t="s">
        <v>1029</v>
      </c>
      <c r="BH29" s="190" t="s">
        <v>1029</v>
      </c>
      <c r="BI29" s="190" t="s">
        <v>1029</v>
      </c>
      <c r="BJ29" s="190" t="s">
        <v>1029</v>
      </c>
      <c r="BK29" s="190" t="s">
        <v>1029</v>
      </c>
      <c r="BL29" s="190" t="s">
        <v>1029</v>
      </c>
      <c r="BM29" s="190" t="s">
        <v>1029</v>
      </c>
      <c r="BN29" s="190" t="s">
        <v>1029</v>
      </c>
      <c r="BO29" s="190" t="s">
        <v>1029</v>
      </c>
      <c r="BP29" s="190" t="s">
        <v>1029</v>
      </c>
      <c r="BQ29" s="190" t="s">
        <v>1029</v>
      </c>
      <c r="BR29" s="190" t="s">
        <v>1029</v>
      </c>
      <c r="BS29" s="190" t="s">
        <v>1029</v>
      </c>
      <c r="BT29" s="190" t="s">
        <v>1029</v>
      </c>
      <c r="BU29" s="190" t="s">
        <v>1029</v>
      </c>
      <c r="BV29" s="190" t="s">
        <v>1029</v>
      </c>
      <c r="BW29" s="190" t="s">
        <v>1029</v>
      </c>
      <c r="BX29" s="190" t="s">
        <v>1029</v>
      </c>
      <c r="BY29" s="190" t="s">
        <v>1029</v>
      </c>
      <c r="BZ29" s="190" t="s">
        <v>1029</v>
      </c>
      <c r="CA29" s="190" t="s">
        <v>1029</v>
      </c>
      <c r="CB29" s="190" t="s">
        <v>1029</v>
      </c>
      <c r="CC29" s="190" t="s">
        <v>1029</v>
      </c>
      <c r="CD29" s="190" t="s">
        <v>1029</v>
      </c>
      <c r="CE29" s="190" t="s">
        <v>1029</v>
      </c>
      <c r="CF29" s="190" t="s">
        <v>1029</v>
      </c>
      <c r="CG29" s="190" t="s">
        <v>1029</v>
      </c>
      <c r="CH29" s="190" t="s">
        <v>1029</v>
      </c>
      <c r="CI29" s="190" t="s">
        <v>1029</v>
      </c>
      <c r="CJ29" s="190" t="s">
        <v>1029</v>
      </c>
      <c r="CK29" s="190" t="s">
        <v>1029</v>
      </c>
      <c r="CL29" s="190" t="s">
        <v>1029</v>
      </c>
      <c r="CM29" s="190" t="s">
        <v>1029</v>
      </c>
      <c r="CN29" s="190" t="s">
        <v>1029</v>
      </c>
      <c r="CO29" s="190" t="s">
        <v>1029</v>
      </c>
      <c r="CP29" s="190" t="s">
        <v>1029</v>
      </c>
      <c r="CQ29" s="190" t="s">
        <v>1029</v>
      </c>
      <c r="CR29" s="190"/>
      <c r="CS29" s="190" t="s">
        <v>1037</v>
      </c>
      <c r="CT29" s="190" t="s">
        <v>1037</v>
      </c>
      <c r="CU29" s="190" t="s">
        <v>930</v>
      </c>
      <c r="CV29" s="190" t="s">
        <v>1038</v>
      </c>
      <c r="CW29" s="190"/>
      <c r="CX29" s="190" t="s">
        <v>1039</v>
      </c>
      <c r="CY29" s="190" t="s">
        <v>1029</v>
      </c>
      <c r="CZ29" s="190" t="s">
        <v>1029</v>
      </c>
      <c r="DA29" s="190" t="s">
        <v>1037</v>
      </c>
      <c r="DB29" s="190" t="s">
        <v>1029</v>
      </c>
      <c r="DC29" s="190" t="s">
        <v>1029</v>
      </c>
      <c r="DD29" s="190" t="s">
        <v>1029</v>
      </c>
      <c r="DE29" s="190"/>
      <c r="DF29" s="174">
        <v>28</v>
      </c>
      <c r="DH29" s="268" t="s">
        <v>4186</v>
      </c>
      <c r="DI29" s="268" t="s">
        <v>4189</v>
      </c>
      <c r="DJ29" s="268">
        <v>2</v>
      </c>
      <c r="DK29" s="268"/>
      <c r="DL29" s="268">
        <v>2</v>
      </c>
      <c r="DM29" s="268"/>
      <c r="DN29" s="268"/>
      <c r="DO29" s="268">
        <v>2</v>
      </c>
      <c r="DP29" s="268"/>
      <c r="DQ29" s="268">
        <v>-2</v>
      </c>
      <c r="DR29" s="268">
        <v>2</v>
      </c>
      <c r="DS29" s="268"/>
      <c r="DT29" s="268"/>
      <c r="DU29" s="268"/>
      <c r="DV29" s="268"/>
      <c r="DW29" s="268"/>
      <c r="DX29" s="268"/>
      <c r="DY29" s="268">
        <v>1</v>
      </c>
      <c r="DZ29" s="268">
        <v>6</v>
      </c>
      <c r="EA29" s="268">
        <v>1</v>
      </c>
      <c r="EB29" s="268">
        <v>50</v>
      </c>
      <c r="EC29" s="174">
        <f t="shared" si="6"/>
        <v>6</v>
      </c>
      <c r="ED29" s="268" t="s">
        <v>4201</v>
      </c>
      <c r="EE29" s="174">
        <v>6543</v>
      </c>
      <c r="EF29" s="174">
        <v>6543</v>
      </c>
      <c r="EG29" s="174">
        <v>7654</v>
      </c>
      <c r="EH29" s="174">
        <v>6543</v>
      </c>
      <c r="EI29" s="174">
        <v>6543</v>
      </c>
      <c r="EJ29" s="174">
        <v>6543</v>
      </c>
      <c r="EK29" s="174">
        <v>6543</v>
      </c>
      <c r="EL29" s="174">
        <v>6531</v>
      </c>
      <c r="EN29" s="182" t="s">
        <v>1060</v>
      </c>
      <c r="EP29" s="174">
        <v>2</v>
      </c>
      <c r="EQ29" s="174">
        <v>2</v>
      </c>
      <c r="ER29" s="174">
        <v>1</v>
      </c>
      <c r="EU29" s="174">
        <v>2</v>
      </c>
      <c r="EV29" s="174">
        <v>2</v>
      </c>
      <c r="EW29" s="174">
        <v>3</v>
      </c>
      <c r="EX29" s="174">
        <v>2</v>
      </c>
      <c r="EY29" s="174">
        <v>4</v>
      </c>
      <c r="EZ29" s="174">
        <v>4</v>
      </c>
      <c r="FA29" s="174">
        <v>2</v>
      </c>
      <c r="FB29" s="174">
        <v>2</v>
      </c>
      <c r="FC29" s="174">
        <v>2</v>
      </c>
      <c r="FD29" s="174">
        <v>5</v>
      </c>
      <c r="FE29" s="174">
        <v>5</v>
      </c>
      <c r="FF29" s="174">
        <v>5</v>
      </c>
      <c r="FH29" s="174">
        <v>1</v>
      </c>
      <c r="FI29" s="174">
        <v>1</v>
      </c>
      <c r="FJ29" s="174">
        <v>1</v>
      </c>
      <c r="FK29" s="174">
        <v>1</v>
      </c>
      <c r="FL29" s="174">
        <v>1</v>
      </c>
      <c r="FM29" s="174">
        <v>1</v>
      </c>
      <c r="FN29" s="174">
        <v>1</v>
      </c>
      <c r="FQ29" s="174">
        <v>1</v>
      </c>
      <c r="FR29" s="174">
        <v>1</v>
      </c>
      <c r="FS29" s="174">
        <v>1</v>
      </c>
      <c r="FT29" s="174">
        <v>1</v>
      </c>
      <c r="FU29" s="174">
        <v>1</v>
      </c>
      <c r="FV29" s="174">
        <v>1</v>
      </c>
      <c r="FW29" s="174">
        <v>1</v>
      </c>
      <c r="HA29" s="174">
        <v>28</v>
      </c>
      <c r="HB29" s="197">
        <v>26</v>
      </c>
      <c r="HC29" s="183">
        <v>33</v>
      </c>
      <c r="HD29" s="183">
        <v>56</v>
      </c>
      <c r="HE29" s="194">
        <v>23</v>
      </c>
      <c r="HF29" s="183">
        <v>89</v>
      </c>
      <c r="HG29" s="193">
        <f t="shared" si="3"/>
        <v>86</v>
      </c>
      <c r="HH29" s="192" t="e">
        <f t="shared" si="7"/>
        <v>#REF!</v>
      </c>
      <c r="HI29" s="198">
        <v>23</v>
      </c>
      <c r="HJ29" s="185">
        <v>92</v>
      </c>
      <c r="HK29" s="174">
        <v>27</v>
      </c>
      <c r="HL29" s="174">
        <f t="shared" si="59"/>
        <v>175</v>
      </c>
      <c r="HM29" s="174">
        <f t="shared" si="60"/>
        <v>165</v>
      </c>
      <c r="HN29" s="174">
        <f t="shared" si="61"/>
        <v>148</v>
      </c>
      <c r="HO29" s="174">
        <f t="shared" si="62"/>
        <v>141</v>
      </c>
      <c r="HP29" s="174">
        <f t="shared" si="63"/>
        <v>141</v>
      </c>
      <c r="HQ29" s="174">
        <f t="shared" si="64"/>
        <v>134</v>
      </c>
      <c r="HR29" s="174">
        <f t="shared" si="65"/>
        <v>131</v>
      </c>
      <c r="HS29" s="174">
        <f t="shared" si="66"/>
        <v>124</v>
      </c>
      <c r="HT29" s="174">
        <f t="shared" si="67"/>
        <v>114</v>
      </c>
      <c r="HU29" s="174">
        <f t="shared" si="68"/>
        <v>138</v>
      </c>
      <c r="HV29" s="174">
        <f t="shared" si="69"/>
        <v>131</v>
      </c>
      <c r="HW29" s="174">
        <f t="shared" si="70"/>
        <v>124</v>
      </c>
      <c r="HX29" s="174">
        <f t="shared" si="71"/>
        <v>121</v>
      </c>
      <c r="HY29" s="174">
        <f t="shared" si="72"/>
        <v>114</v>
      </c>
      <c r="HZ29" s="174">
        <f t="shared" si="73"/>
        <v>104</v>
      </c>
      <c r="IA29" s="174">
        <f t="shared" si="74"/>
        <v>97</v>
      </c>
      <c r="IB29" s="174">
        <f t="shared" si="75"/>
        <v>111</v>
      </c>
      <c r="IC29" s="174">
        <f t="shared" si="76"/>
        <v>94</v>
      </c>
      <c r="ID29" s="174">
        <f t="shared" si="77"/>
        <v>87</v>
      </c>
      <c r="IE29" s="174">
        <f t="shared" si="78"/>
        <v>84</v>
      </c>
      <c r="IF29" s="174">
        <f t="shared" si="79"/>
        <v>84</v>
      </c>
      <c r="IG29" s="174">
        <f t="shared" si="80"/>
        <v>64</v>
      </c>
      <c r="IH29" s="174">
        <f t="shared" si="81"/>
        <v>57</v>
      </c>
      <c r="II29" s="174">
        <f t="shared" si="82"/>
        <v>37</v>
      </c>
      <c r="IJ29" s="174">
        <v>29</v>
      </c>
      <c r="IN29" s="174">
        <f>LARGE($IN$40:$IN$43,2)</f>
        <v>-21.009999999999998</v>
      </c>
      <c r="IO29" s="174" t="str">
        <f>VLOOKUP(IN29,$IN$40:$IO$43,2,0)</f>
        <v>Strikes 4</v>
      </c>
      <c r="IR29" s="174">
        <v>850000</v>
      </c>
      <c r="IS29" s="174">
        <v>27</v>
      </c>
    </row>
    <row r="30" spans="1:253" ht="13.35" customHeight="1" x14ac:dyDescent="0.2">
      <c r="A30" s="183">
        <f t="shared" si="1"/>
        <v>29</v>
      </c>
      <c r="B30" s="184">
        <f t="shared" si="34"/>
        <v>-1</v>
      </c>
      <c r="C30" s="183">
        <f t="shared" si="2"/>
        <v>29</v>
      </c>
      <c r="E30" s="189" t="s">
        <v>626</v>
      </c>
      <c r="F30" s="190" t="s">
        <v>1042</v>
      </c>
      <c r="G30" s="190" t="s">
        <v>1030</v>
      </c>
      <c r="H30" s="190" t="s">
        <v>1031</v>
      </c>
      <c r="I30" s="190" t="s">
        <v>1030</v>
      </c>
      <c r="J30" s="190" t="s">
        <v>930</v>
      </c>
      <c r="K30" s="190" t="s">
        <v>1005</v>
      </c>
      <c r="L30" s="190" t="s">
        <v>1005</v>
      </c>
      <c r="M30" s="190" t="s">
        <v>1005</v>
      </c>
      <c r="N30" s="190" t="s">
        <v>1005</v>
      </c>
      <c r="O30" s="190" t="s">
        <v>1005</v>
      </c>
      <c r="P30" s="190" t="s">
        <v>1005</v>
      </c>
      <c r="Q30" s="190" t="s">
        <v>1002</v>
      </c>
      <c r="R30" s="190" t="s">
        <v>1002</v>
      </c>
      <c r="S30" s="190" t="s">
        <v>1002</v>
      </c>
      <c r="T30" s="190" t="s">
        <v>988</v>
      </c>
      <c r="U30" s="190" t="s">
        <v>988</v>
      </c>
      <c r="V30" s="190" t="s">
        <v>988</v>
      </c>
      <c r="W30" s="190" t="s">
        <v>988</v>
      </c>
      <c r="X30" s="190" t="s">
        <v>988</v>
      </c>
      <c r="Y30" s="190" t="s">
        <v>988</v>
      </c>
      <c r="Z30" s="190"/>
      <c r="AA30" s="190" t="s">
        <v>1005</v>
      </c>
      <c r="AB30" s="190" t="s">
        <v>1005</v>
      </c>
      <c r="AC30" s="190" t="s">
        <v>988</v>
      </c>
      <c r="AD30" s="190" t="s">
        <v>988</v>
      </c>
      <c r="AE30" s="190"/>
      <c r="AF30" s="190" t="s">
        <v>1005</v>
      </c>
      <c r="AG30" s="190" t="s">
        <v>1029</v>
      </c>
      <c r="AH30" s="190" t="s">
        <v>988</v>
      </c>
      <c r="AI30" s="190"/>
      <c r="AJ30" s="190" t="s">
        <v>988</v>
      </c>
      <c r="AK30" s="190" t="s">
        <v>1002</v>
      </c>
      <c r="AL30" s="190" t="s">
        <v>1029</v>
      </c>
      <c r="AM30" s="190" t="s">
        <v>1002</v>
      </c>
      <c r="AN30" s="190"/>
      <c r="AO30" s="190" t="s">
        <v>1002</v>
      </c>
      <c r="AP30" s="190" t="s">
        <v>1002</v>
      </c>
      <c r="AQ30" s="190" t="s">
        <v>988</v>
      </c>
      <c r="AR30" s="190"/>
      <c r="AS30" s="190" t="s">
        <v>1005</v>
      </c>
      <c r="AT30" s="190" t="s">
        <v>1005</v>
      </c>
      <c r="AU30" s="190" t="s">
        <v>1005</v>
      </c>
      <c r="AV30" s="190" t="s">
        <v>1005</v>
      </c>
      <c r="AW30" s="190" t="s">
        <v>1005</v>
      </c>
      <c r="AX30" s="190" t="s">
        <v>1005</v>
      </c>
      <c r="AY30" s="190" t="s">
        <v>1005</v>
      </c>
      <c r="AZ30" s="190" t="s">
        <v>1005</v>
      </c>
      <c r="BA30" s="190" t="s">
        <v>1005</v>
      </c>
      <c r="BB30" s="190" t="s">
        <v>1005</v>
      </c>
      <c r="BC30" s="190" t="s">
        <v>1005</v>
      </c>
      <c r="BD30" s="190" t="s">
        <v>1005</v>
      </c>
      <c r="BE30" s="190" t="s">
        <v>1005</v>
      </c>
      <c r="BF30" s="190" t="s">
        <v>1005</v>
      </c>
      <c r="BG30" s="190" t="s">
        <v>1005</v>
      </c>
      <c r="BH30" s="190" t="s">
        <v>1005</v>
      </c>
      <c r="BI30" s="190" t="s">
        <v>1005</v>
      </c>
      <c r="BJ30" s="190" t="s">
        <v>1005</v>
      </c>
      <c r="BK30" s="190" t="s">
        <v>1005</v>
      </c>
      <c r="BL30" s="190" t="s">
        <v>1005</v>
      </c>
      <c r="BM30" s="190" t="s">
        <v>1005</v>
      </c>
      <c r="BN30" s="190" t="s">
        <v>1005</v>
      </c>
      <c r="BO30" s="190" t="s">
        <v>1005</v>
      </c>
      <c r="BP30" s="190" t="s">
        <v>1005</v>
      </c>
      <c r="BQ30" s="190" t="s">
        <v>1005</v>
      </c>
      <c r="BR30" s="190" t="s">
        <v>1005</v>
      </c>
      <c r="BS30" s="190" t="s">
        <v>1005</v>
      </c>
      <c r="BT30" s="190" t="s">
        <v>1005</v>
      </c>
      <c r="BU30" s="190" t="s">
        <v>1005</v>
      </c>
      <c r="BV30" s="190" t="s">
        <v>1005</v>
      </c>
      <c r="BW30" s="190" t="s">
        <v>1005</v>
      </c>
      <c r="BX30" s="190" t="s">
        <v>1005</v>
      </c>
      <c r="BY30" s="190" t="s">
        <v>1005</v>
      </c>
      <c r="BZ30" s="190" t="s">
        <v>1005</v>
      </c>
      <c r="CA30" s="190" t="s">
        <v>1005</v>
      </c>
      <c r="CB30" s="190" t="s">
        <v>1005</v>
      </c>
      <c r="CC30" s="190" t="s">
        <v>1005</v>
      </c>
      <c r="CD30" s="190" t="s">
        <v>1005</v>
      </c>
      <c r="CE30" s="190" t="s">
        <v>1005</v>
      </c>
      <c r="CF30" s="190" t="s">
        <v>1005</v>
      </c>
      <c r="CG30" s="190" t="s">
        <v>1005</v>
      </c>
      <c r="CH30" s="190" t="s">
        <v>1005</v>
      </c>
      <c r="CI30" s="190" t="s">
        <v>1005</v>
      </c>
      <c r="CJ30" s="190" t="s">
        <v>1005</v>
      </c>
      <c r="CK30" s="190" t="s">
        <v>1005</v>
      </c>
      <c r="CL30" s="190" t="s">
        <v>1005</v>
      </c>
      <c r="CM30" s="190" t="s">
        <v>1005</v>
      </c>
      <c r="CN30" s="190" t="s">
        <v>1005</v>
      </c>
      <c r="CO30" s="190" t="s">
        <v>1005</v>
      </c>
      <c r="CP30" s="190" t="s">
        <v>1005</v>
      </c>
      <c r="CQ30" s="190" t="s">
        <v>1005</v>
      </c>
      <c r="CR30" s="190"/>
      <c r="CS30" s="190" t="s">
        <v>1042</v>
      </c>
      <c r="CT30" s="190" t="s">
        <v>1030</v>
      </c>
      <c r="CU30" s="190" t="s">
        <v>1031</v>
      </c>
      <c r="CV30" s="190" t="s">
        <v>1038</v>
      </c>
      <c r="CW30" s="190"/>
      <c r="CX30" s="190" t="s">
        <v>988</v>
      </c>
      <c r="CY30" s="190" t="s">
        <v>1029</v>
      </c>
      <c r="CZ30" s="190" t="s">
        <v>1005</v>
      </c>
      <c r="DA30" s="190" t="s">
        <v>1042</v>
      </c>
      <c r="DB30" s="190" t="s">
        <v>1005</v>
      </c>
      <c r="DC30" s="190" t="s">
        <v>1005</v>
      </c>
      <c r="DD30" s="190" t="s">
        <v>1005</v>
      </c>
      <c r="DE30" s="190"/>
      <c r="DF30" s="174">
        <v>29</v>
      </c>
      <c r="DH30" s="268" t="s">
        <v>4186</v>
      </c>
      <c r="DI30" s="268" t="s">
        <v>4388</v>
      </c>
      <c r="DJ30" s="268">
        <v>2</v>
      </c>
      <c r="DK30" s="268"/>
      <c r="DL30" s="268">
        <v>4</v>
      </c>
      <c r="DM30" s="268"/>
      <c r="DN30" s="268"/>
      <c r="DO30" s="268">
        <v>2</v>
      </c>
      <c r="DP30" s="268"/>
      <c r="DQ30" s="268"/>
      <c r="DR30" s="268"/>
      <c r="DS30" s="268"/>
      <c r="DT30" s="268"/>
      <c r="DU30" s="268"/>
      <c r="DV30" s="268"/>
      <c r="DW30" s="268"/>
      <c r="DX30" s="268"/>
      <c r="DY30" s="268">
        <v>1</v>
      </c>
      <c r="DZ30" s="268">
        <v>6</v>
      </c>
      <c r="EA30" s="268">
        <v>1</v>
      </c>
      <c r="EB30" s="268">
        <v>40</v>
      </c>
      <c r="EC30" s="174">
        <f t="shared" si="6"/>
        <v>8</v>
      </c>
      <c r="ED30" s="268" t="s">
        <v>4191</v>
      </c>
      <c r="EE30" s="174">
        <v>6543</v>
      </c>
      <c r="EF30" s="174">
        <v>6543</v>
      </c>
      <c r="EG30" s="174">
        <v>7654</v>
      </c>
      <c r="EH30" s="174">
        <v>6543</v>
      </c>
      <c r="EI30" s="174">
        <v>6543</v>
      </c>
      <c r="EJ30" s="174">
        <v>6543</v>
      </c>
      <c r="EK30" s="174">
        <v>6543</v>
      </c>
      <c r="EL30" s="174">
        <v>6521</v>
      </c>
      <c r="EN30" s="174" t="s">
        <v>677</v>
      </c>
      <c r="EP30" s="174">
        <v>2</v>
      </c>
      <c r="EQ30" s="174">
        <v>3</v>
      </c>
      <c r="ER30" s="174">
        <v>1</v>
      </c>
      <c r="EU30" s="174">
        <v>2</v>
      </c>
      <c r="EV30" s="174">
        <v>2</v>
      </c>
      <c r="EW30" s="174">
        <v>3</v>
      </c>
      <c r="EX30" s="174">
        <v>2</v>
      </c>
      <c r="EY30" s="174">
        <v>4</v>
      </c>
      <c r="EZ30" s="174">
        <v>4</v>
      </c>
      <c r="FA30" s="174">
        <v>2</v>
      </c>
      <c r="FB30" s="174">
        <v>2</v>
      </c>
      <c r="FC30" s="174">
        <v>2</v>
      </c>
      <c r="FD30" s="174">
        <v>5</v>
      </c>
      <c r="FE30" s="174">
        <v>5</v>
      </c>
      <c r="FF30" s="174">
        <v>5</v>
      </c>
      <c r="FH30" s="174">
        <v>1</v>
      </c>
      <c r="FI30" s="174">
        <v>1</v>
      </c>
      <c r="FJ30" s="174">
        <v>1</v>
      </c>
      <c r="FK30" s="174">
        <v>1</v>
      </c>
      <c r="FL30" s="174">
        <v>1</v>
      </c>
      <c r="FM30" s="174">
        <v>1</v>
      </c>
      <c r="FN30" s="174">
        <v>1</v>
      </c>
      <c r="FQ30" s="174">
        <v>1</v>
      </c>
      <c r="FR30" s="174">
        <v>1</v>
      </c>
      <c r="FS30" s="174">
        <v>1</v>
      </c>
      <c r="FU30" s="174">
        <v>1</v>
      </c>
      <c r="FV30" s="174">
        <v>1</v>
      </c>
      <c r="FW30" s="174">
        <v>1</v>
      </c>
      <c r="HA30" s="174">
        <v>29</v>
      </c>
      <c r="HB30" s="197">
        <v>27</v>
      </c>
      <c r="HC30" s="183">
        <v>34</v>
      </c>
      <c r="HD30" s="183">
        <v>57</v>
      </c>
      <c r="HE30" s="194">
        <v>24</v>
      </c>
      <c r="HF30" s="183">
        <v>91</v>
      </c>
      <c r="HG30" s="193">
        <f t="shared" si="3"/>
        <v>87</v>
      </c>
      <c r="HH30" s="192" t="e">
        <f t="shared" si="7"/>
        <v>#REF!</v>
      </c>
      <c r="HI30" s="198">
        <v>24</v>
      </c>
      <c r="HJ30" s="185">
        <v>94</v>
      </c>
      <c r="HK30" s="174">
        <v>28</v>
      </c>
      <c r="HL30" s="174">
        <f t="shared" si="59"/>
        <v>180</v>
      </c>
      <c r="HM30" s="174">
        <f t="shared" si="60"/>
        <v>170</v>
      </c>
      <c r="HN30" s="174">
        <f t="shared" si="61"/>
        <v>152</v>
      </c>
      <c r="HO30" s="174">
        <f t="shared" si="62"/>
        <v>144</v>
      </c>
      <c r="HP30" s="174">
        <f t="shared" si="63"/>
        <v>144</v>
      </c>
      <c r="HQ30" s="174">
        <f t="shared" si="64"/>
        <v>136</v>
      </c>
      <c r="HR30" s="174">
        <f t="shared" si="65"/>
        <v>134</v>
      </c>
      <c r="HS30" s="174">
        <f t="shared" si="66"/>
        <v>126</v>
      </c>
      <c r="HT30" s="174">
        <f t="shared" si="67"/>
        <v>116</v>
      </c>
      <c r="HU30" s="174">
        <f t="shared" si="68"/>
        <v>142</v>
      </c>
      <c r="HV30" s="174">
        <f t="shared" si="69"/>
        <v>134</v>
      </c>
      <c r="HW30" s="174">
        <f t="shared" si="70"/>
        <v>126</v>
      </c>
      <c r="HX30" s="174">
        <f t="shared" si="71"/>
        <v>124</v>
      </c>
      <c r="HY30" s="174">
        <f t="shared" si="72"/>
        <v>116</v>
      </c>
      <c r="HZ30" s="174">
        <f t="shared" si="73"/>
        <v>106</v>
      </c>
      <c r="IA30" s="174">
        <f t="shared" si="74"/>
        <v>98</v>
      </c>
      <c r="IB30" s="174">
        <f t="shared" si="75"/>
        <v>114</v>
      </c>
      <c r="IC30" s="174">
        <f t="shared" si="76"/>
        <v>96</v>
      </c>
      <c r="ID30" s="174">
        <f t="shared" si="77"/>
        <v>88</v>
      </c>
      <c r="IE30" s="174">
        <f t="shared" si="78"/>
        <v>86</v>
      </c>
      <c r="IF30" s="174">
        <f t="shared" si="79"/>
        <v>86</v>
      </c>
      <c r="IG30" s="174">
        <f t="shared" si="80"/>
        <v>66</v>
      </c>
      <c r="IH30" s="174">
        <f t="shared" si="81"/>
        <v>58</v>
      </c>
      <c r="II30" s="174">
        <f t="shared" si="82"/>
        <v>38</v>
      </c>
      <c r="IJ30" s="174">
        <v>30</v>
      </c>
      <c r="IN30" s="174">
        <f>LARGE($IN$40:$IN$43,3)</f>
        <v>-27.009999999999998</v>
      </c>
      <c r="IO30" s="174" t="str">
        <f>VLOOKUP(IN30,$IN$40:$IO$43,2,0)</f>
        <v>Strikes 2</v>
      </c>
      <c r="IR30" s="174">
        <v>900000</v>
      </c>
      <c r="IS30" s="174">
        <v>28</v>
      </c>
    </row>
    <row r="31" spans="1:253" ht="13.35" customHeight="1" x14ac:dyDescent="0.2">
      <c r="A31" s="183">
        <f t="shared" si="1"/>
        <v>30</v>
      </c>
      <c r="B31" s="184">
        <f t="shared" si="34"/>
        <v>-1</v>
      </c>
      <c r="C31" s="183">
        <f t="shared" si="2"/>
        <v>30</v>
      </c>
      <c r="E31" s="189" t="s">
        <v>627</v>
      </c>
      <c r="F31" s="190" t="s">
        <v>1001</v>
      </c>
      <c r="G31" s="190" t="s">
        <v>1001</v>
      </c>
      <c r="H31" s="190" t="s">
        <v>1001</v>
      </c>
      <c r="I31" s="190" t="s">
        <v>995</v>
      </c>
      <c r="J31" s="190" t="s">
        <v>991</v>
      </c>
      <c r="K31" s="190" t="s">
        <v>994</v>
      </c>
      <c r="L31" s="190" t="s">
        <v>994</v>
      </c>
      <c r="M31" s="190" t="s">
        <v>994</v>
      </c>
      <c r="N31" s="190" t="s">
        <v>994</v>
      </c>
      <c r="O31" s="190" t="s">
        <v>994</v>
      </c>
      <c r="P31" s="190" t="s">
        <v>994</v>
      </c>
      <c r="Q31" s="190" t="s">
        <v>994</v>
      </c>
      <c r="R31" s="190" t="s">
        <v>994</v>
      </c>
      <c r="S31" s="190" t="s">
        <v>994</v>
      </c>
      <c r="T31" s="190" t="s">
        <v>991</v>
      </c>
      <c r="U31" s="190" t="s">
        <v>991</v>
      </c>
      <c r="V31" s="190" t="s">
        <v>991</v>
      </c>
      <c r="W31" s="190" t="s">
        <v>991</v>
      </c>
      <c r="X31" s="190" t="s">
        <v>991</v>
      </c>
      <c r="Y31" s="190" t="s">
        <v>991</v>
      </c>
      <c r="Z31" s="190"/>
      <c r="AA31" s="190" t="s">
        <v>994</v>
      </c>
      <c r="AB31" s="190" t="s">
        <v>994</v>
      </c>
      <c r="AC31" s="190" t="s">
        <v>992</v>
      </c>
      <c r="AD31" s="190" t="s">
        <v>992</v>
      </c>
      <c r="AE31" s="190"/>
      <c r="AF31" s="190" t="s">
        <v>994</v>
      </c>
      <c r="AG31" s="190" t="s">
        <v>994</v>
      </c>
      <c r="AH31" s="190" t="s">
        <v>991</v>
      </c>
      <c r="AI31" s="190"/>
      <c r="AJ31" s="190" t="s">
        <v>991</v>
      </c>
      <c r="AK31" s="190" t="s">
        <v>994</v>
      </c>
      <c r="AL31" s="190" t="s">
        <v>994</v>
      </c>
      <c r="AM31" s="190" t="s">
        <v>994</v>
      </c>
      <c r="AN31" s="190"/>
      <c r="AO31" s="190" t="s">
        <v>994</v>
      </c>
      <c r="AP31" s="190" t="s">
        <v>994</v>
      </c>
      <c r="AQ31" s="190" t="s">
        <v>991</v>
      </c>
      <c r="AR31" s="190"/>
      <c r="AS31" s="190" t="s">
        <v>994</v>
      </c>
      <c r="AT31" s="190" t="s">
        <v>994</v>
      </c>
      <c r="AU31" s="190" t="s">
        <v>994</v>
      </c>
      <c r="AV31" s="190" t="s">
        <v>994</v>
      </c>
      <c r="AW31" s="190" t="s">
        <v>994</v>
      </c>
      <c r="AX31" s="190" t="s">
        <v>994</v>
      </c>
      <c r="AY31" s="190" t="s">
        <v>994</v>
      </c>
      <c r="AZ31" s="190" t="s">
        <v>994</v>
      </c>
      <c r="BA31" s="190" t="s">
        <v>994</v>
      </c>
      <c r="BB31" s="190" t="s">
        <v>994</v>
      </c>
      <c r="BC31" s="190" t="s">
        <v>994</v>
      </c>
      <c r="BD31" s="190" t="s">
        <v>994</v>
      </c>
      <c r="BE31" s="190" t="s">
        <v>994</v>
      </c>
      <c r="BF31" s="190" t="s">
        <v>994</v>
      </c>
      <c r="BG31" s="190" t="s">
        <v>994</v>
      </c>
      <c r="BH31" s="190" t="s">
        <v>994</v>
      </c>
      <c r="BI31" s="190" t="s">
        <v>994</v>
      </c>
      <c r="BJ31" s="190" t="s">
        <v>994</v>
      </c>
      <c r="BK31" s="190" t="s">
        <v>994</v>
      </c>
      <c r="BL31" s="190" t="s">
        <v>994</v>
      </c>
      <c r="BM31" s="190" t="s">
        <v>994</v>
      </c>
      <c r="BN31" s="190" t="s">
        <v>994</v>
      </c>
      <c r="BO31" s="190" t="s">
        <v>994</v>
      </c>
      <c r="BP31" s="190" t="s">
        <v>994</v>
      </c>
      <c r="BQ31" s="190" t="s">
        <v>994</v>
      </c>
      <c r="BR31" s="190" t="s">
        <v>994</v>
      </c>
      <c r="BS31" s="190" t="s">
        <v>994</v>
      </c>
      <c r="BT31" s="190" t="s">
        <v>994</v>
      </c>
      <c r="BU31" s="190" t="s">
        <v>994</v>
      </c>
      <c r="BV31" s="190" t="s">
        <v>994</v>
      </c>
      <c r="BW31" s="190" t="s">
        <v>994</v>
      </c>
      <c r="BX31" s="190" t="s">
        <v>994</v>
      </c>
      <c r="BY31" s="190" t="s">
        <v>994</v>
      </c>
      <c r="BZ31" s="190" t="s">
        <v>994</v>
      </c>
      <c r="CA31" s="190" t="s">
        <v>994</v>
      </c>
      <c r="CB31" s="190" t="s">
        <v>994</v>
      </c>
      <c r="CC31" s="190" t="s">
        <v>994</v>
      </c>
      <c r="CD31" s="190" t="s">
        <v>994</v>
      </c>
      <c r="CE31" s="190" t="s">
        <v>994</v>
      </c>
      <c r="CF31" s="190" t="s">
        <v>994</v>
      </c>
      <c r="CG31" s="190" t="s">
        <v>994</v>
      </c>
      <c r="CH31" s="190" t="s">
        <v>994</v>
      </c>
      <c r="CI31" s="190" t="s">
        <v>994</v>
      </c>
      <c r="CJ31" s="190" t="s">
        <v>994</v>
      </c>
      <c r="CK31" s="190" t="s">
        <v>994</v>
      </c>
      <c r="CL31" s="190" t="s">
        <v>994</v>
      </c>
      <c r="CM31" s="190" t="s">
        <v>994</v>
      </c>
      <c r="CN31" s="190" t="s">
        <v>994</v>
      </c>
      <c r="CO31" s="190" t="s">
        <v>994</v>
      </c>
      <c r="CP31" s="190" t="s">
        <v>994</v>
      </c>
      <c r="CQ31" s="190" t="s">
        <v>994</v>
      </c>
      <c r="CR31" s="190"/>
      <c r="CS31" s="190" t="s">
        <v>1006</v>
      </c>
      <c r="CT31" s="190" t="s">
        <v>1001</v>
      </c>
      <c r="CU31" s="190" t="s">
        <v>996</v>
      </c>
      <c r="CV31" s="190" t="s">
        <v>1001</v>
      </c>
      <c r="CW31" s="190"/>
      <c r="CX31" s="190" t="s">
        <v>991</v>
      </c>
      <c r="CY31" s="190" t="s">
        <v>994</v>
      </c>
      <c r="CZ31" s="190" t="s">
        <v>994</v>
      </c>
      <c r="DA31" s="190" t="s">
        <v>1006</v>
      </c>
      <c r="DB31" s="190" t="s">
        <v>999</v>
      </c>
      <c r="DC31" s="190" t="s">
        <v>994</v>
      </c>
      <c r="DD31" s="190" t="s">
        <v>994</v>
      </c>
      <c r="DE31" s="190"/>
      <c r="DF31" s="174">
        <v>30</v>
      </c>
      <c r="DH31" s="268" t="s">
        <v>4186</v>
      </c>
      <c r="DI31" s="268" t="s">
        <v>4190</v>
      </c>
      <c r="DJ31" s="268">
        <v>2</v>
      </c>
      <c r="DK31" s="268">
        <v>2</v>
      </c>
      <c r="DL31" s="268"/>
      <c r="DM31" s="268"/>
      <c r="DN31" s="268"/>
      <c r="DO31" s="268">
        <v>2</v>
      </c>
      <c r="DP31" s="268">
        <v>2</v>
      </c>
      <c r="DQ31" s="268">
        <v>-2</v>
      </c>
      <c r="DR31" s="268">
        <v>2</v>
      </c>
      <c r="DS31" s="268">
        <v>-2</v>
      </c>
      <c r="DT31" s="268"/>
      <c r="DU31" s="268"/>
      <c r="DV31" s="268"/>
      <c r="DW31" s="268"/>
      <c r="DX31" s="268"/>
      <c r="DY31" s="268">
        <v>1</v>
      </c>
      <c r="DZ31" s="268">
        <v>5</v>
      </c>
      <c r="EA31" s="268">
        <v>1</v>
      </c>
      <c r="EB31" s="268">
        <v>55</v>
      </c>
      <c r="EC31" s="174">
        <f t="shared" si="6"/>
        <v>6</v>
      </c>
      <c r="ED31" s="268" t="s">
        <v>4185</v>
      </c>
      <c r="EE31" s="174">
        <v>6543</v>
      </c>
      <c r="EF31" s="174">
        <v>6543</v>
      </c>
      <c r="EG31" s="174">
        <v>6543</v>
      </c>
      <c r="EH31" s="174">
        <v>6543</v>
      </c>
      <c r="EI31" s="174">
        <v>6543</v>
      </c>
      <c r="EJ31" s="174">
        <v>6543</v>
      </c>
      <c r="EK31" s="174">
        <v>6543</v>
      </c>
      <c r="EL31" s="174">
        <v>6321</v>
      </c>
      <c r="EN31" s="174" t="s">
        <v>675</v>
      </c>
      <c r="EP31" s="174">
        <v>2</v>
      </c>
      <c r="EQ31" s="174">
        <v>3</v>
      </c>
      <c r="ER31" s="174">
        <v>1</v>
      </c>
      <c r="EU31" s="174">
        <v>2</v>
      </c>
      <c r="EV31" s="174">
        <v>2</v>
      </c>
      <c r="EW31" s="174">
        <v>3</v>
      </c>
      <c r="EX31" s="174">
        <v>2</v>
      </c>
      <c r="EY31" s="174">
        <v>4</v>
      </c>
      <c r="EZ31" s="174">
        <v>4</v>
      </c>
      <c r="FA31" s="174">
        <v>2</v>
      </c>
      <c r="FB31" s="174">
        <v>2</v>
      </c>
      <c r="FC31" s="174">
        <v>2</v>
      </c>
      <c r="FD31" s="174">
        <v>5</v>
      </c>
      <c r="FE31" s="174">
        <v>5</v>
      </c>
      <c r="FF31" s="174">
        <v>5</v>
      </c>
      <c r="FH31" s="174">
        <v>1</v>
      </c>
      <c r="FI31" s="174">
        <v>1</v>
      </c>
      <c r="FJ31" s="174">
        <v>1</v>
      </c>
      <c r="FK31" s="174">
        <v>1</v>
      </c>
      <c r="FL31" s="174">
        <v>1</v>
      </c>
      <c r="FM31" s="174">
        <v>1</v>
      </c>
      <c r="FN31" s="174">
        <v>1</v>
      </c>
      <c r="FQ31" s="174">
        <v>1</v>
      </c>
      <c r="FR31" s="174">
        <v>1</v>
      </c>
      <c r="FS31" s="174">
        <v>1</v>
      </c>
      <c r="FU31" s="174">
        <v>1</v>
      </c>
      <c r="FV31" s="174">
        <v>1</v>
      </c>
      <c r="FW31" s="174">
        <v>1</v>
      </c>
      <c r="HA31" s="174">
        <v>30</v>
      </c>
      <c r="HB31" s="197">
        <v>28</v>
      </c>
      <c r="HC31" s="183">
        <v>34</v>
      </c>
      <c r="HD31" s="183">
        <v>58</v>
      </c>
      <c r="HE31" s="194">
        <v>24</v>
      </c>
      <c r="HF31" s="183">
        <v>92</v>
      </c>
      <c r="HG31" s="193">
        <f t="shared" si="3"/>
        <v>88</v>
      </c>
      <c r="HH31" s="192" t="e">
        <f t="shared" si="7"/>
        <v>#REF!</v>
      </c>
      <c r="HI31" s="198">
        <v>24</v>
      </c>
      <c r="HJ31" s="185">
        <v>96</v>
      </c>
      <c r="HK31" s="174">
        <v>29</v>
      </c>
      <c r="HL31" s="174">
        <f t="shared" si="59"/>
        <v>185</v>
      </c>
      <c r="HM31" s="174">
        <f t="shared" si="60"/>
        <v>175</v>
      </c>
      <c r="HN31" s="174">
        <f t="shared" si="61"/>
        <v>156</v>
      </c>
      <c r="HO31" s="174">
        <f t="shared" si="62"/>
        <v>147</v>
      </c>
      <c r="HP31" s="174">
        <f t="shared" si="63"/>
        <v>147</v>
      </c>
      <c r="HQ31" s="174">
        <f t="shared" si="64"/>
        <v>138</v>
      </c>
      <c r="HR31" s="174">
        <f t="shared" si="65"/>
        <v>137</v>
      </c>
      <c r="HS31" s="174">
        <f t="shared" si="66"/>
        <v>128</v>
      </c>
      <c r="HT31" s="174">
        <f t="shared" si="67"/>
        <v>118</v>
      </c>
      <c r="HU31" s="174">
        <f t="shared" si="68"/>
        <v>146</v>
      </c>
      <c r="HV31" s="174">
        <f t="shared" si="69"/>
        <v>137</v>
      </c>
      <c r="HW31" s="174">
        <f t="shared" si="70"/>
        <v>128</v>
      </c>
      <c r="HX31" s="174">
        <f t="shared" si="71"/>
        <v>127</v>
      </c>
      <c r="HY31" s="174">
        <f t="shared" si="72"/>
        <v>118</v>
      </c>
      <c r="HZ31" s="174">
        <f t="shared" si="73"/>
        <v>108</v>
      </c>
      <c r="IA31" s="174">
        <f t="shared" si="74"/>
        <v>99</v>
      </c>
      <c r="IB31" s="174">
        <f t="shared" si="75"/>
        <v>117</v>
      </c>
      <c r="IC31" s="174">
        <f t="shared" si="76"/>
        <v>98</v>
      </c>
      <c r="ID31" s="174">
        <f t="shared" si="77"/>
        <v>89</v>
      </c>
      <c r="IE31" s="174">
        <f t="shared" si="78"/>
        <v>88</v>
      </c>
      <c r="IF31" s="174">
        <f t="shared" si="79"/>
        <v>88</v>
      </c>
      <c r="IG31" s="174">
        <f t="shared" si="80"/>
        <v>68</v>
      </c>
      <c r="IH31" s="174">
        <f t="shared" si="81"/>
        <v>59</v>
      </c>
      <c r="II31" s="174">
        <f t="shared" si="82"/>
        <v>39</v>
      </c>
      <c r="IJ31" s="174">
        <v>31</v>
      </c>
      <c r="IN31" s="174">
        <f>LARGE($IN$40:$IN$43,4)</f>
        <v>-27.009999999999998</v>
      </c>
      <c r="IO31" s="174" t="str">
        <f>VLOOKUP(IN31,$IN$40:$IO$43,2,0)</f>
        <v>Strikes 2</v>
      </c>
      <c r="IR31" s="174">
        <v>950000</v>
      </c>
      <c r="IS31" s="174">
        <v>29</v>
      </c>
    </row>
    <row r="32" spans="1:253" ht="13.35" customHeight="1" x14ac:dyDescent="0.2">
      <c r="A32" s="183">
        <f t="shared" si="1"/>
        <v>31</v>
      </c>
      <c r="B32" s="183">
        <v>0</v>
      </c>
      <c r="C32" s="183">
        <f t="shared" si="2"/>
        <v>31</v>
      </c>
      <c r="E32" s="189" t="s">
        <v>1061</v>
      </c>
      <c r="F32" s="190" t="s">
        <v>1031</v>
      </c>
      <c r="G32" s="190" t="s">
        <v>1031</v>
      </c>
      <c r="H32" s="190" t="s">
        <v>1031</v>
      </c>
      <c r="I32" s="190" t="s">
        <v>1031</v>
      </c>
      <c r="J32" s="190" t="s">
        <v>988</v>
      </c>
      <c r="K32" s="190" t="s">
        <v>1032</v>
      </c>
      <c r="L32" s="190" t="s">
        <v>1032</v>
      </c>
      <c r="M32" s="190" t="s">
        <v>1039</v>
      </c>
      <c r="N32" s="190" t="s">
        <v>1032</v>
      </c>
      <c r="O32" s="190" t="s">
        <v>1032</v>
      </c>
      <c r="P32" s="190" t="s">
        <v>1032</v>
      </c>
      <c r="Q32" s="190" t="s">
        <v>1032</v>
      </c>
      <c r="R32" s="190" t="s">
        <v>1032</v>
      </c>
      <c r="S32" s="190" t="s">
        <v>1032</v>
      </c>
      <c r="T32" s="190" t="s">
        <v>988</v>
      </c>
      <c r="U32" s="190" t="s">
        <v>988</v>
      </c>
      <c r="V32" s="190" t="s">
        <v>988</v>
      </c>
      <c r="W32" s="190" t="s">
        <v>988</v>
      </c>
      <c r="X32" s="190" t="s">
        <v>988</v>
      </c>
      <c r="Y32" s="190" t="s">
        <v>988</v>
      </c>
      <c r="Z32" s="190"/>
      <c r="AA32" s="190" t="s">
        <v>1039</v>
      </c>
      <c r="AB32" s="190" t="s">
        <v>1039</v>
      </c>
      <c r="AC32" s="190" t="s">
        <v>1032</v>
      </c>
      <c r="AD32" s="190" t="s">
        <v>988</v>
      </c>
      <c r="AE32" s="190"/>
      <c r="AF32" s="190" t="s">
        <v>1032</v>
      </c>
      <c r="AG32" s="190" t="s">
        <v>1032</v>
      </c>
      <c r="AH32" s="190" t="s">
        <v>988</v>
      </c>
      <c r="AI32" s="190"/>
      <c r="AJ32" s="190" t="s">
        <v>988</v>
      </c>
      <c r="AK32" s="190" t="s">
        <v>1032</v>
      </c>
      <c r="AL32" s="190" t="s">
        <v>1032</v>
      </c>
      <c r="AM32" s="190" t="s">
        <v>1032</v>
      </c>
      <c r="AN32" s="190"/>
      <c r="AO32" s="190" t="s">
        <v>1032</v>
      </c>
      <c r="AP32" s="190" t="s">
        <v>1032</v>
      </c>
      <c r="AQ32" s="190" t="s">
        <v>988</v>
      </c>
      <c r="AR32" s="190"/>
      <c r="AS32" s="190" t="s">
        <v>1032</v>
      </c>
      <c r="AT32" s="190" t="s">
        <v>1032</v>
      </c>
      <c r="AU32" s="190" t="s">
        <v>1032</v>
      </c>
      <c r="AV32" s="190" t="s">
        <v>1032</v>
      </c>
      <c r="AW32" s="190" t="s">
        <v>1032</v>
      </c>
      <c r="AX32" s="190" t="s">
        <v>1032</v>
      </c>
      <c r="AY32" s="190" t="s">
        <v>1032</v>
      </c>
      <c r="AZ32" s="190" t="s">
        <v>1032</v>
      </c>
      <c r="BA32" s="190" t="s">
        <v>1032</v>
      </c>
      <c r="BB32" s="190" t="s">
        <v>1032</v>
      </c>
      <c r="BC32" s="190" t="s">
        <v>1032</v>
      </c>
      <c r="BD32" s="190" t="s">
        <v>1032</v>
      </c>
      <c r="BE32" s="190" t="s">
        <v>1032</v>
      </c>
      <c r="BF32" s="190" t="s">
        <v>1032</v>
      </c>
      <c r="BG32" s="190" t="s">
        <v>1032</v>
      </c>
      <c r="BH32" s="190" t="s">
        <v>1032</v>
      </c>
      <c r="BI32" s="190" t="s">
        <v>1032</v>
      </c>
      <c r="BJ32" s="190" t="s">
        <v>1032</v>
      </c>
      <c r="BK32" s="190" t="s">
        <v>1032</v>
      </c>
      <c r="BL32" s="190" t="s">
        <v>1032</v>
      </c>
      <c r="BM32" s="190" t="s">
        <v>1032</v>
      </c>
      <c r="BN32" s="190" t="s">
        <v>1032</v>
      </c>
      <c r="BO32" s="190" t="s">
        <v>1032</v>
      </c>
      <c r="BP32" s="190" t="s">
        <v>1032</v>
      </c>
      <c r="BQ32" s="190" t="s">
        <v>1032</v>
      </c>
      <c r="BR32" s="190" t="s">
        <v>1032</v>
      </c>
      <c r="BS32" s="190" t="s">
        <v>1032</v>
      </c>
      <c r="BT32" s="190" t="s">
        <v>1032</v>
      </c>
      <c r="BU32" s="190" t="s">
        <v>1032</v>
      </c>
      <c r="BV32" s="190" t="s">
        <v>1032</v>
      </c>
      <c r="BW32" s="190" t="s">
        <v>1032</v>
      </c>
      <c r="BX32" s="190" t="s">
        <v>1032</v>
      </c>
      <c r="BY32" s="190" t="s">
        <v>1032</v>
      </c>
      <c r="BZ32" s="190" t="s">
        <v>1032</v>
      </c>
      <c r="CA32" s="190" t="s">
        <v>1032</v>
      </c>
      <c r="CB32" s="190" t="s">
        <v>1032</v>
      </c>
      <c r="CC32" s="190" t="s">
        <v>1032</v>
      </c>
      <c r="CD32" s="190" t="s">
        <v>1032</v>
      </c>
      <c r="CE32" s="190" t="s">
        <v>1032</v>
      </c>
      <c r="CF32" s="190" t="s">
        <v>1032</v>
      </c>
      <c r="CG32" s="190" t="s">
        <v>1032</v>
      </c>
      <c r="CH32" s="190" t="s">
        <v>1032</v>
      </c>
      <c r="CI32" s="190" t="s">
        <v>1032</v>
      </c>
      <c r="CJ32" s="190" t="s">
        <v>1032</v>
      </c>
      <c r="CK32" s="190" t="s">
        <v>1032</v>
      </c>
      <c r="CL32" s="190" t="s">
        <v>1032</v>
      </c>
      <c r="CM32" s="190" t="s">
        <v>1032</v>
      </c>
      <c r="CN32" s="190" t="s">
        <v>1032</v>
      </c>
      <c r="CO32" s="190" t="s">
        <v>1032</v>
      </c>
      <c r="CP32" s="190" t="s">
        <v>1032</v>
      </c>
      <c r="CQ32" s="190" t="s">
        <v>1032</v>
      </c>
      <c r="CR32" s="190"/>
      <c r="CS32" s="190" t="s">
        <v>1030</v>
      </c>
      <c r="CT32" s="190" t="s">
        <v>1031</v>
      </c>
      <c r="CU32" s="190" t="s">
        <v>1029</v>
      </c>
      <c r="CV32" s="190" t="s">
        <v>1031</v>
      </c>
      <c r="CW32" s="190"/>
      <c r="CX32" s="190" t="s">
        <v>988</v>
      </c>
      <c r="CY32" s="190" t="s">
        <v>1032</v>
      </c>
      <c r="CZ32" s="190" t="s">
        <v>1032</v>
      </c>
      <c r="DA32" s="190" t="s">
        <v>1030</v>
      </c>
      <c r="DB32" s="190" t="s">
        <v>1006</v>
      </c>
      <c r="DC32" s="190" t="s">
        <v>1032</v>
      </c>
      <c r="DD32" s="190" t="s">
        <v>1032</v>
      </c>
      <c r="DE32" s="190"/>
      <c r="DF32" s="174">
        <v>31</v>
      </c>
      <c r="DH32" s="268" t="s">
        <v>4186</v>
      </c>
      <c r="DI32" s="268" t="s">
        <v>4201</v>
      </c>
      <c r="DJ32" s="268">
        <v>3</v>
      </c>
      <c r="DK32" s="268"/>
      <c r="DL32" s="268">
        <v>2</v>
      </c>
      <c r="DM32" s="268"/>
      <c r="DN32" s="268"/>
      <c r="DO32" s="268">
        <v>3</v>
      </c>
      <c r="DP32" s="268"/>
      <c r="DQ32" s="268">
        <v>-2</v>
      </c>
      <c r="DR32" s="268">
        <v>-2</v>
      </c>
      <c r="DS32" s="268"/>
      <c r="DT32" s="268"/>
      <c r="DU32" s="268"/>
      <c r="DV32" s="268"/>
      <c r="DW32" s="268"/>
      <c r="DX32" s="268"/>
      <c r="DY32" s="268">
        <v>1</v>
      </c>
      <c r="DZ32" s="268">
        <v>6</v>
      </c>
      <c r="EA32" s="268">
        <v>1</v>
      </c>
      <c r="EB32" s="268">
        <v>55</v>
      </c>
      <c r="EC32" s="174">
        <f t="shared" si="6"/>
        <v>4</v>
      </c>
      <c r="ED32" s="268" t="s">
        <v>4202</v>
      </c>
      <c r="EE32" s="174">
        <v>6543</v>
      </c>
      <c r="EF32" s="174">
        <v>6543</v>
      </c>
      <c r="EG32" s="174">
        <v>7654</v>
      </c>
      <c r="EH32" s="174">
        <v>6543</v>
      </c>
      <c r="EI32" s="174">
        <v>6543</v>
      </c>
      <c r="EJ32" s="174">
        <v>6543</v>
      </c>
      <c r="EK32" s="174">
        <v>6543</v>
      </c>
      <c r="EL32" s="174">
        <v>7521</v>
      </c>
      <c r="EN32" s="182" t="s">
        <v>1062</v>
      </c>
      <c r="EP32" s="174">
        <v>1</v>
      </c>
      <c r="EQ32" s="174">
        <v>1</v>
      </c>
      <c r="ER32" s="174">
        <v>1</v>
      </c>
      <c r="ES32" s="174">
        <v>1</v>
      </c>
      <c r="ET32" s="174">
        <v>1</v>
      </c>
      <c r="EU32" s="174">
        <v>1</v>
      </c>
      <c r="EV32" s="174">
        <v>1</v>
      </c>
      <c r="EW32" s="174">
        <v>1</v>
      </c>
      <c r="EX32" s="174">
        <v>1</v>
      </c>
      <c r="EY32" s="174">
        <v>1</v>
      </c>
      <c r="EZ32" s="174">
        <v>1</v>
      </c>
      <c r="FA32" s="174">
        <v>4</v>
      </c>
      <c r="FB32" s="174">
        <v>4</v>
      </c>
      <c r="FC32" s="174">
        <v>4</v>
      </c>
      <c r="FD32" s="174">
        <v>1</v>
      </c>
      <c r="FE32" s="174">
        <v>1</v>
      </c>
      <c r="FF32" s="174">
        <v>1</v>
      </c>
      <c r="FG32" s="174">
        <v>1</v>
      </c>
      <c r="FH32" s="174">
        <v>1</v>
      </c>
      <c r="FI32" s="174">
        <v>1</v>
      </c>
      <c r="FJ32" s="174">
        <v>1</v>
      </c>
      <c r="FK32" s="174">
        <v>1</v>
      </c>
      <c r="FL32" s="174">
        <v>1</v>
      </c>
      <c r="FM32" s="174">
        <v>1</v>
      </c>
      <c r="FN32" s="174">
        <v>1</v>
      </c>
      <c r="FO32" s="174">
        <v>1</v>
      </c>
      <c r="FP32" s="174">
        <v>1</v>
      </c>
      <c r="FQ32" s="174">
        <v>1</v>
      </c>
      <c r="FR32" s="174">
        <v>1</v>
      </c>
      <c r="FS32" s="174">
        <v>1</v>
      </c>
      <c r="FU32" s="174">
        <v>1</v>
      </c>
      <c r="FV32" s="174">
        <v>1</v>
      </c>
      <c r="FW32" s="174">
        <v>1</v>
      </c>
      <c r="FX32" s="174">
        <v>1</v>
      </c>
      <c r="FY32" s="174">
        <v>1</v>
      </c>
      <c r="FZ32" s="174">
        <v>1</v>
      </c>
      <c r="HA32" s="174">
        <v>31</v>
      </c>
      <c r="HB32" s="197">
        <v>29</v>
      </c>
      <c r="HC32" s="183">
        <v>35</v>
      </c>
      <c r="HD32" s="183">
        <v>59</v>
      </c>
      <c r="HE32" s="194">
        <v>25</v>
      </c>
      <c r="HF32" s="183">
        <v>94</v>
      </c>
      <c r="HG32" s="193">
        <f t="shared" si="3"/>
        <v>89</v>
      </c>
      <c r="HH32" s="192" t="e">
        <f t="shared" si="7"/>
        <v>#REF!</v>
      </c>
      <c r="HI32" s="198">
        <v>25</v>
      </c>
      <c r="HJ32" s="185">
        <v>98</v>
      </c>
      <c r="HK32" s="182">
        <v>30</v>
      </c>
      <c r="HL32" s="269">
        <f t="shared" si="59"/>
        <v>190</v>
      </c>
      <c r="HM32" s="269">
        <f t="shared" si="60"/>
        <v>180</v>
      </c>
      <c r="HN32" s="269">
        <f t="shared" si="61"/>
        <v>160</v>
      </c>
      <c r="HO32" s="269">
        <f t="shared" si="62"/>
        <v>150</v>
      </c>
      <c r="HP32" s="269">
        <f t="shared" si="63"/>
        <v>150</v>
      </c>
      <c r="HQ32" s="269">
        <f t="shared" si="64"/>
        <v>140</v>
      </c>
      <c r="HR32" s="269">
        <f t="shared" si="65"/>
        <v>140</v>
      </c>
      <c r="HS32" s="269">
        <f t="shared" si="66"/>
        <v>130</v>
      </c>
      <c r="HT32" s="269">
        <f t="shared" si="67"/>
        <v>120</v>
      </c>
      <c r="HU32" s="269">
        <f t="shared" si="68"/>
        <v>150</v>
      </c>
      <c r="HV32" s="269">
        <f t="shared" si="69"/>
        <v>140</v>
      </c>
      <c r="HW32" s="269">
        <f t="shared" si="70"/>
        <v>130</v>
      </c>
      <c r="HX32" s="269">
        <f t="shared" si="71"/>
        <v>130</v>
      </c>
      <c r="HY32" s="269">
        <f t="shared" si="72"/>
        <v>120</v>
      </c>
      <c r="HZ32" s="269">
        <f t="shared" si="73"/>
        <v>110</v>
      </c>
      <c r="IA32" s="269">
        <f t="shared" si="74"/>
        <v>100</v>
      </c>
      <c r="IB32" s="269">
        <f t="shared" si="75"/>
        <v>120</v>
      </c>
      <c r="IC32" s="269">
        <f t="shared" si="76"/>
        <v>100</v>
      </c>
      <c r="ID32" s="269">
        <f t="shared" si="77"/>
        <v>90</v>
      </c>
      <c r="IE32" s="269">
        <f t="shared" si="78"/>
        <v>90</v>
      </c>
      <c r="IF32" s="269">
        <f t="shared" si="79"/>
        <v>90</v>
      </c>
      <c r="IG32" s="269">
        <f t="shared" si="80"/>
        <v>70</v>
      </c>
      <c r="IH32" s="269">
        <f t="shared" si="81"/>
        <v>60</v>
      </c>
      <c r="II32" s="269">
        <f t="shared" si="82"/>
        <v>40</v>
      </c>
      <c r="IJ32" s="182">
        <v>32</v>
      </c>
      <c r="IN32" s="174">
        <f>Skills!K90</f>
        <v>2.490000000000002</v>
      </c>
      <c r="IO32" s="174" t="str">
        <f>Skills!B90</f>
        <v>Two-Weapon Fighting</v>
      </c>
      <c r="IR32" s="174">
        <v>1000000</v>
      </c>
      <c r="IS32" s="174">
        <v>30</v>
      </c>
    </row>
    <row r="33" spans="1:253" ht="13.35" customHeight="1" x14ac:dyDescent="0.2">
      <c r="A33" s="183">
        <f t="shared" si="1"/>
        <v>32</v>
      </c>
      <c r="B33" s="183">
        <v>0</v>
      </c>
      <c r="C33" s="183">
        <f t="shared" si="2"/>
        <v>32</v>
      </c>
      <c r="E33" s="189" t="s">
        <v>637</v>
      </c>
      <c r="F33" s="190" t="s">
        <v>995</v>
      </c>
      <c r="G33" s="190" t="s">
        <v>995</v>
      </c>
      <c r="H33" s="190" t="s">
        <v>995</v>
      </c>
      <c r="I33" s="190" t="s">
        <v>999</v>
      </c>
      <c r="J33" s="190" t="s">
        <v>1010</v>
      </c>
      <c r="K33" s="190" t="s">
        <v>1002</v>
      </c>
      <c r="L33" s="190" t="s">
        <v>1002</v>
      </c>
      <c r="M33" s="190" t="s">
        <v>1004</v>
      </c>
      <c r="N33" s="190" t="s">
        <v>1004</v>
      </c>
      <c r="O33" s="190" t="s">
        <v>1009</v>
      </c>
      <c r="P33" s="190" t="s">
        <v>1009</v>
      </c>
      <c r="Q33" s="190" t="s">
        <v>1010</v>
      </c>
      <c r="R33" s="190" t="s">
        <v>1004</v>
      </c>
      <c r="S33" s="190" t="s">
        <v>1004</v>
      </c>
      <c r="T33" s="190" t="s">
        <v>1010</v>
      </c>
      <c r="U33" s="190" t="s">
        <v>1010</v>
      </c>
      <c r="V33" s="190" t="s">
        <v>992</v>
      </c>
      <c r="W33" s="190" t="s">
        <v>1010</v>
      </c>
      <c r="X33" s="190" t="s">
        <v>1010</v>
      </c>
      <c r="Y33" s="190" t="s">
        <v>995</v>
      </c>
      <c r="Z33" s="190"/>
      <c r="AA33" s="190" t="s">
        <v>1028</v>
      </c>
      <c r="AB33" s="190" t="s">
        <v>1004</v>
      </c>
      <c r="AC33" s="190" t="s">
        <v>1002</v>
      </c>
      <c r="AD33" s="190" t="s">
        <v>995</v>
      </c>
      <c r="AE33" s="190"/>
      <c r="AF33" s="190" t="s">
        <v>1002</v>
      </c>
      <c r="AG33" s="190" t="s">
        <v>1002</v>
      </c>
      <c r="AH33" s="190" t="s">
        <v>1010</v>
      </c>
      <c r="AI33" s="190"/>
      <c r="AJ33" s="190" t="s">
        <v>1010</v>
      </c>
      <c r="AK33" s="190" t="s">
        <v>1004</v>
      </c>
      <c r="AL33" s="190" t="s">
        <v>1009</v>
      </c>
      <c r="AM33" s="190" t="s">
        <v>1004</v>
      </c>
      <c r="AN33" s="190"/>
      <c r="AO33" s="190" t="s">
        <v>1002</v>
      </c>
      <c r="AP33" s="190" t="s">
        <v>1004</v>
      </c>
      <c r="AQ33" s="190" t="s">
        <v>995</v>
      </c>
      <c r="AR33" s="190"/>
      <c r="AS33" s="190" t="s">
        <v>1004</v>
      </c>
      <c r="AT33" s="190" t="s">
        <v>1004</v>
      </c>
      <c r="AU33" s="190" t="s">
        <v>1004</v>
      </c>
      <c r="AV33" s="190" t="s">
        <v>1004</v>
      </c>
      <c r="AW33" s="190" t="s">
        <v>1004</v>
      </c>
      <c r="AX33" s="190" t="s">
        <v>1004</v>
      </c>
      <c r="AY33" s="190" t="s">
        <v>1004</v>
      </c>
      <c r="AZ33" s="190" t="s">
        <v>1004</v>
      </c>
      <c r="BA33" s="190" t="s">
        <v>1004</v>
      </c>
      <c r="BB33" s="190" t="s">
        <v>1004</v>
      </c>
      <c r="BC33" s="190" t="s">
        <v>1004</v>
      </c>
      <c r="BD33" s="190" t="s">
        <v>1004</v>
      </c>
      <c r="BE33" s="190" t="s">
        <v>1004</v>
      </c>
      <c r="BF33" s="190" t="s">
        <v>1004</v>
      </c>
      <c r="BG33" s="190" t="s">
        <v>1004</v>
      </c>
      <c r="BH33" s="190" t="s">
        <v>1004</v>
      </c>
      <c r="BI33" s="190" t="s">
        <v>1004</v>
      </c>
      <c r="BJ33" s="190" t="s">
        <v>1004</v>
      </c>
      <c r="BK33" s="190" t="s">
        <v>1004</v>
      </c>
      <c r="BL33" s="190" t="s">
        <v>1004</v>
      </c>
      <c r="BM33" s="190" t="s">
        <v>1004</v>
      </c>
      <c r="BN33" s="190" t="s">
        <v>1004</v>
      </c>
      <c r="BO33" s="190" t="s">
        <v>1004</v>
      </c>
      <c r="BP33" s="190" t="s">
        <v>1004</v>
      </c>
      <c r="BQ33" s="190" t="s">
        <v>1004</v>
      </c>
      <c r="BR33" s="190" t="s">
        <v>1004</v>
      </c>
      <c r="BS33" s="190" t="s">
        <v>1004</v>
      </c>
      <c r="BT33" s="190" t="s">
        <v>1004</v>
      </c>
      <c r="BU33" s="190" t="s">
        <v>1004</v>
      </c>
      <c r="BV33" s="190" t="s">
        <v>1004</v>
      </c>
      <c r="BW33" s="190" t="s">
        <v>1004</v>
      </c>
      <c r="BX33" s="190" t="s">
        <v>1004</v>
      </c>
      <c r="BY33" s="190" t="s">
        <v>1004</v>
      </c>
      <c r="BZ33" s="190" t="s">
        <v>1004</v>
      </c>
      <c r="CA33" s="190" t="s">
        <v>1004</v>
      </c>
      <c r="CB33" s="190" t="s">
        <v>1004</v>
      </c>
      <c r="CC33" s="190" t="s">
        <v>1004</v>
      </c>
      <c r="CD33" s="190" t="s">
        <v>1004</v>
      </c>
      <c r="CE33" s="190" t="s">
        <v>1004</v>
      </c>
      <c r="CF33" s="190" t="s">
        <v>1004</v>
      </c>
      <c r="CG33" s="190" t="s">
        <v>1004</v>
      </c>
      <c r="CH33" s="190" t="s">
        <v>1004</v>
      </c>
      <c r="CI33" s="190" t="s">
        <v>1004</v>
      </c>
      <c r="CJ33" s="190" t="s">
        <v>1004</v>
      </c>
      <c r="CK33" s="190" t="s">
        <v>1004</v>
      </c>
      <c r="CL33" s="190" t="s">
        <v>1004</v>
      </c>
      <c r="CM33" s="190" t="s">
        <v>1004</v>
      </c>
      <c r="CN33" s="190" t="s">
        <v>1004</v>
      </c>
      <c r="CO33" s="190" t="s">
        <v>1004</v>
      </c>
      <c r="CP33" s="190" t="s">
        <v>1004</v>
      </c>
      <c r="CQ33" s="190" t="s">
        <v>1004</v>
      </c>
      <c r="CR33" s="190"/>
      <c r="CS33" s="190" t="s">
        <v>1010</v>
      </c>
      <c r="CT33" s="190" t="s">
        <v>995</v>
      </c>
      <c r="CU33" s="190" t="s">
        <v>1009</v>
      </c>
      <c r="CV33" s="190" t="s">
        <v>991</v>
      </c>
      <c r="CW33" s="190"/>
      <c r="CX33" s="190" t="s">
        <v>1010</v>
      </c>
      <c r="CY33" s="190" t="s">
        <v>1004</v>
      </c>
      <c r="CZ33" s="190" t="s">
        <v>1004</v>
      </c>
      <c r="DA33" s="190" t="s">
        <v>1010</v>
      </c>
      <c r="DB33" s="190" t="s">
        <v>1002</v>
      </c>
      <c r="DC33" s="190" t="s">
        <v>1004</v>
      </c>
      <c r="DD33" s="190" t="s">
        <v>1007</v>
      </c>
      <c r="DE33" s="190"/>
      <c r="DF33" s="174">
        <v>32</v>
      </c>
      <c r="DH33" s="268" t="s">
        <v>4186</v>
      </c>
      <c r="DI33" s="268" t="s">
        <v>4191</v>
      </c>
      <c r="DJ33" s="268">
        <v>2</v>
      </c>
      <c r="DK33" s="268"/>
      <c r="DL33" s="268">
        <v>2</v>
      </c>
      <c r="DM33" s="268"/>
      <c r="DN33" s="268"/>
      <c r="DO33" s="268">
        <v>2</v>
      </c>
      <c r="DP33" s="268"/>
      <c r="DQ33" s="268">
        <v>2</v>
      </c>
      <c r="DR33" s="268"/>
      <c r="DS33" s="268"/>
      <c r="DT33" s="268"/>
      <c r="DU33" s="268"/>
      <c r="DV33" s="268"/>
      <c r="DW33" s="268"/>
      <c r="DX33" s="268"/>
      <c r="DY33" s="268">
        <v>1</v>
      </c>
      <c r="DZ33" s="268">
        <v>5</v>
      </c>
      <c r="EA33" s="268">
        <v>0.9</v>
      </c>
      <c r="EB33" s="268">
        <v>50</v>
      </c>
      <c r="EC33" s="174">
        <f t="shared" si="6"/>
        <v>8</v>
      </c>
      <c r="ED33" s="268" t="s">
        <v>4371</v>
      </c>
      <c r="EE33" s="174">
        <v>2111</v>
      </c>
      <c r="EF33" s="174">
        <v>6543</v>
      </c>
      <c r="EG33" s="174">
        <v>2111</v>
      </c>
      <c r="EH33" s="174">
        <v>4322</v>
      </c>
      <c r="EI33" s="174">
        <v>2111</v>
      </c>
      <c r="EJ33" s="174">
        <v>4322</v>
      </c>
      <c r="EK33" s="174">
        <v>3221</v>
      </c>
      <c r="EL33" s="174">
        <v>6321</v>
      </c>
      <c r="EN33" s="182" t="s">
        <v>1063</v>
      </c>
      <c r="EO33" s="174">
        <v>1</v>
      </c>
      <c r="EV33" s="174">
        <v>1</v>
      </c>
      <c r="FI33" s="174">
        <v>1</v>
      </c>
      <c r="FJ33" s="174">
        <v>1</v>
      </c>
      <c r="FN33" s="174">
        <v>1</v>
      </c>
      <c r="FU33" s="174">
        <v>1</v>
      </c>
      <c r="FX33" s="174">
        <v>5</v>
      </c>
      <c r="HA33" s="174">
        <v>32</v>
      </c>
      <c r="HB33" s="197">
        <v>30</v>
      </c>
      <c r="HC33" s="183">
        <v>35</v>
      </c>
      <c r="HD33" s="183">
        <v>60</v>
      </c>
      <c r="HE33" s="194">
        <v>25</v>
      </c>
      <c r="HF33" s="183">
        <v>95</v>
      </c>
      <c r="HG33" s="193">
        <f t="shared" si="3"/>
        <v>90</v>
      </c>
      <c r="HH33" s="192" t="e">
        <f t="shared" si="7"/>
        <v>#REF!</v>
      </c>
      <c r="HI33" s="198">
        <v>25</v>
      </c>
      <c r="HJ33" s="185">
        <v>100</v>
      </c>
      <c r="HK33" s="174">
        <v>31</v>
      </c>
      <c r="HL33" s="174">
        <f>HL32+4</f>
        <v>194</v>
      </c>
      <c r="HM33" s="174">
        <f>HM32+4</f>
        <v>184</v>
      </c>
      <c r="HN33" s="174">
        <f>HN32+3</f>
        <v>163</v>
      </c>
      <c r="HO33" s="174">
        <f>HO32+2</f>
        <v>152</v>
      </c>
      <c r="HP33" s="174">
        <f>HP32+1</f>
        <v>151</v>
      </c>
      <c r="HQ33" s="174">
        <f>HQ32+1</f>
        <v>141</v>
      </c>
      <c r="HR33" s="174">
        <f>HR32+1</f>
        <v>141</v>
      </c>
      <c r="HS33" s="174">
        <f>HS32+1</f>
        <v>131</v>
      </c>
      <c r="HT33" s="174">
        <f>HT32+1</f>
        <v>121</v>
      </c>
      <c r="HU33" s="174">
        <f>HU32+3</f>
        <v>153</v>
      </c>
      <c r="HV33" s="174">
        <f>HV32+1</f>
        <v>141</v>
      </c>
      <c r="HW33" s="174">
        <f>HW32+1</f>
        <v>131</v>
      </c>
      <c r="HX33" s="174">
        <f>HX32+2</f>
        <v>132</v>
      </c>
      <c r="HY33" s="174">
        <f>HY32+1</f>
        <v>121</v>
      </c>
      <c r="HZ33" s="174">
        <f>HZ32+1</f>
        <v>111</v>
      </c>
      <c r="IA33" s="174">
        <f>IA32+1</f>
        <v>101</v>
      </c>
      <c r="IB33" s="174">
        <f>IB32+2</f>
        <v>122</v>
      </c>
      <c r="IC33" s="174">
        <f>IC32+2</f>
        <v>102</v>
      </c>
      <c r="ID33" s="174">
        <f>ID32+1</f>
        <v>91</v>
      </c>
      <c r="IE33" s="174">
        <f>IE32+2</f>
        <v>92</v>
      </c>
      <c r="IF33" s="174">
        <f>IF32+1</f>
        <v>91</v>
      </c>
      <c r="IG33" s="174">
        <f>IG32+1</f>
        <v>71</v>
      </c>
      <c r="IH33" s="174">
        <f>IH32+1</f>
        <v>61</v>
      </c>
      <c r="II33" s="174">
        <f>II32+1</f>
        <v>41</v>
      </c>
      <c r="IJ33" s="174">
        <v>33</v>
      </c>
      <c r="IR33" s="174">
        <v>1050000</v>
      </c>
      <c r="IS33" s="174">
        <v>31</v>
      </c>
    </row>
    <row r="34" spans="1:253" ht="13.35" customHeight="1" x14ac:dyDescent="0.2">
      <c r="A34" s="183">
        <f t="shared" si="1"/>
        <v>33</v>
      </c>
      <c r="B34" s="183">
        <v>0</v>
      </c>
      <c r="C34" s="183">
        <f t="shared" si="2"/>
        <v>33</v>
      </c>
      <c r="E34" s="189" t="s">
        <v>654</v>
      </c>
      <c r="F34" s="190" t="s">
        <v>995</v>
      </c>
      <c r="G34" s="190" t="s">
        <v>1064</v>
      </c>
      <c r="H34" s="190" t="s">
        <v>1010</v>
      </c>
      <c r="I34" s="190" t="s">
        <v>1021</v>
      </c>
      <c r="J34" s="190" t="s">
        <v>1065</v>
      </c>
      <c r="K34" s="190" t="s">
        <v>1030</v>
      </c>
      <c r="L34" s="190" t="s">
        <v>1030</v>
      </c>
      <c r="M34" s="190" t="s">
        <v>930</v>
      </c>
      <c r="N34" s="190" t="s">
        <v>930</v>
      </c>
      <c r="O34" s="190" t="s">
        <v>1031</v>
      </c>
      <c r="P34" s="190" t="s">
        <v>1031</v>
      </c>
      <c r="Q34" s="190" t="s">
        <v>1030</v>
      </c>
      <c r="R34" s="190" t="s">
        <v>1030</v>
      </c>
      <c r="S34" s="190" t="s">
        <v>1030</v>
      </c>
      <c r="T34" s="190" t="s">
        <v>1007</v>
      </c>
      <c r="U34" s="190" t="s">
        <v>1064</v>
      </c>
      <c r="V34" s="190" t="s">
        <v>1004</v>
      </c>
      <c r="W34" s="190" t="s">
        <v>1002</v>
      </c>
      <c r="X34" s="190" t="s">
        <v>1002</v>
      </c>
      <c r="Y34" s="190" t="s">
        <v>1005</v>
      </c>
      <c r="Z34" s="190"/>
      <c r="AA34" s="190" t="s">
        <v>1037</v>
      </c>
      <c r="AB34" s="190" t="s">
        <v>1037</v>
      </c>
      <c r="AC34" s="190" t="s">
        <v>988</v>
      </c>
      <c r="AD34" s="190" t="s">
        <v>1008</v>
      </c>
      <c r="AE34" s="190"/>
      <c r="AF34" s="190" t="s">
        <v>1030</v>
      </c>
      <c r="AG34" s="190" t="s">
        <v>1030</v>
      </c>
      <c r="AH34" s="190" t="s">
        <v>1039</v>
      </c>
      <c r="AI34" s="190"/>
      <c r="AJ34" s="190" t="s">
        <v>1064</v>
      </c>
      <c r="AK34" s="190" t="s">
        <v>1030</v>
      </c>
      <c r="AL34" s="190" t="s">
        <v>1038</v>
      </c>
      <c r="AM34" s="190" t="s">
        <v>1030</v>
      </c>
      <c r="AN34" s="190"/>
      <c r="AO34" s="190" t="s">
        <v>1030</v>
      </c>
      <c r="AP34" s="190" t="s">
        <v>1038</v>
      </c>
      <c r="AQ34" s="190" t="s">
        <v>1064</v>
      </c>
      <c r="AR34" s="190"/>
      <c r="AS34" s="190" t="s">
        <v>931</v>
      </c>
      <c r="AT34" s="190" t="s">
        <v>931</v>
      </c>
      <c r="AU34" s="190" t="s">
        <v>931</v>
      </c>
      <c r="AV34" s="190" t="s">
        <v>931</v>
      </c>
      <c r="AW34" s="190" t="s">
        <v>931</v>
      </c>
      <c r="AX34" s="190" t="s">
        <v>931</v>
      </c>
      <c r="AY34" s="190" t="s">
        <v>931</v>
      </c>
      <c r="AZ34" s="190" t="s">
        <v>931</v>
      </c>
      <c r="BA34" s="190" t="s">
        <v>931</v>
      </c>
      <c r="BB34" s="190" t="s">
        <v>931</v>
      </c>
      <c r="BC34" s="190" t="s">
        <v>931</v>
      </c>
      <c r="BD34" s="190" t="s">
        <v>931</v>
      </c>
      <c r="BE34" s="190" t="s">
        <v>931</v>
      </c>
      <c r="BF34" s="190" t="s">
        <v>931</v>
      </c>
      <c r="BG34" s="190" t="s">
        <v>931</v>
      </c>
      <c r="BH34" s="190" t="s">
        <v>931</v>
      </c>
      <c r="BI34" s="190" t="s">
        <v>931</v>
      </c>
      <c r="BJ34" s="190" t="s">
        <v>931</v>
      </c>
      <c r="BK34" s="190" t="s">
        <v>931</v>
      </c>
      <c r="BL34" s="190" t="s">
        <v>931</v>
      </c>
      <c r="BM34" s="190" t="s">
        <v>931</v>
      </c>
      <c r="BN34" s="190" t="s">
        <v>931</v>
      </c>
      <c r="BO34" s="190" t="s">
        <v>931</v>
      </c>
      <c r="BP34" s="190" t="s">
        <v>931</v>
      </c>
      <c r="BQ34" s="190" t="s">
        <v>931</v>
      </c>
      <c r="BR34" s="190" t="s">
        <v>931</v>
      </c>
      <c r="BS34" s="190" t="s">
        <v>931</v>
      </c>
      <c r="BT34" s="190" t="s">
        <v>931</v>
      </c>
      <c r="BU34" s="190" t="s">
        <v>931</v>
      </c>
      <c r="BV34" s="190" t="s">
        <v>931</v>
      </c>
      <c r="BW34" s="190" t="s">
        <v>931</v>
      </c>
      <c r="BX34" s="190" t="s">
        <v>931</v>
      </c>
      <c r="BY34" s="190" t="s">
        <v>931</v>
      </c>
      <c r="BZ34" s="190" t="s">
        <v>931</v>
      </c>
      <c r="CA34" s="190" t="s">
        <v>931</v>
      </c>
      <c r="CB34" s="190" t="s">
        <v>931</v>
      </c>
      <c r="CC34" s="190" t="s">
        <v>931</v>
      </c>
      <c r="CD34" s="190" t="s">
        <v>931</v>
      </c>
      <c r="CE34" s="190" t="s">
        <v>931</v>
      </c>
      <c r="CF34" s="190" t="s">
        <v>931</v>
      </c>
      <c r="CG34" s="190" t="s">
        <v>931</v>
      </c>
      <c r="CH34" s="190" t="s">
        <v>931</v>
      </c>
      <c r="CI34" s="190" t="s">
        <v>931</v>
      </c>
      <c r="CJ34" s="190" t="s">
        <v>931</v>
      </c>
      <c r="CK34" s="190" t="s">
        <v>931</v>
      </c>
      <c r="CL34" s="190" t="s">
        <v>931</v>
      </c>
      <c r="CM34" s="190" t="s">
        <v>931</v>
      </c>
      <c r="CN34" s="190" t="s">
        <v>931</v>
      </c>
      <c r="CO34" s="190" t="s">
        <v>931</v>
      </c>
      <c r="CP34" s="190" t="s">
        <v>931</v>
      </c>
      <c r="CQ34" s="190" t="s">
        <v>931</v>
      </c>
      <c r="CR34" s="190"/>
      <c r="CS34" s="190" t="s">
        <v>1010</v>
      </c>
      <c r="CT34" s="190" t="s">
        <v>1064</v>
      </c>
      <c r="CU34" s="190" t="s">
        <v>930</v>
      </c>
      <c r="CV34" s="190" t="s">
        <v>991</v>
      </c>
      <c r="CW34" s="190"/>
      <c r="CX34" s="190" t="s">
        <v>1007</v>
      </c>
      <c r="CY34" s="190" t="s">
        <v>930</v>
      </c>
      <c r="CZ34" s="190" t="s">
        <v>930</v>
      </c>
      <c r="DA34" s="190" t="s">
        <v>1010</v>
      </c>
      <c r="DB34" s="190" t="s">
        <v>1030</v>
      </c>
      <c r="DC34" s="190" t="s">
        <v>930</v>
      </c>
      <c r="DD34" s="190" t="s">
        <v>1031</v>
      </c>
      <c r="DE34" s="190"/>
      <c r="DF34" s="174">
        <v>33</v>
      </c>
      <c r="DH34" s="268" t="s">
        <v>4186</v>
      </c>
      <c r="DI34" s="268" t="s">
        <v>4202</v>
      </c>
      <c r="DJ34" s="268">
        <v>2</v>
      </c>
      <c r="DK34" s="268"/>
      <c r="DL34" s="268">
        <v>2</v>
      </c>
      <c r="DM34" s="268"/>
      <c r="DN34" s="268"/>
      <c r="DO34" s="268">
        <v>2</v>
      </c>
      <c r="DP34" s="268"/>
      <c r="DQ34" s="268"/>
      <c r="DR34" s="268"/>
      <c r="DS34" s="268"/>
      <c r="DT34" s="268"/>
      <c r="DU34" s="268"/>
      <c r="DV34" s="268"/>
      <c r="DW34" s="268"/>
      <c r="DX34" s="268"/>
      <c r="DY34" s="268">
        <v>1</v>
      </c>
      <c r="DZ34" s="268">
        <v>5</v>
      </c>
      <c r="EA34" s="268">
        <v>0.9</v>
      </c>
      <c r="EB34" s="268">
        <v>50</v>
      </c>
      <c r="EC34" s="174">
        <f t="shared" si="6"/>
        <v>6</v>
      </c>
      <c r="ED34" s="268" t="s">
        <v>4171</v>
      </c>
      <c r="EE34" s="174">
        <v>7654</v>
      </c>
      <c r="EF34" s="174">
        <v>6543</v>
      </c>
      <c r="EG34" s="174">
        <v>6543</v>
      </c>
      <c r="EH34" s="174">
        <v>6543</v>
      </c>
      <c r="EI34" s="174">
        <v>6543</v>
      </c>
      <c r="EJ34" s="174">
        <v>6543</v>
      </c>
      <c r="EK34" s="174">
        <v>6543</v>
      </c>
      <c r="EL34" s="174">
        <v>7321</v>
      </c>
      <c r="EN34" s="182" t="s">
        <v>721</v>
      </c>
      <c r="EO34" s="174">
        <v>4</v>
      </c>
      <c r="EP34" s="174">
        <v>2</v>
      </c>
      <c r="EQ34" s="174">
        <v>2</v>
      </c>
      <c r="ER34" s="174">
        <v>4</v>
      </c>
      <c r="ES34" s="174">
        <v>4</v>
      </c>
      <c r="ET34" s="174">
        <v>4</v>
      </c>
      <c r="EU34" s="174">
        <v>2</v>
      </c>
      <c r="EV34" s="174">
        <v>2</v>
      </c>
      <c r="EW34" s="174">
        <v>2</v>
      </c>
      <c r="EX34" s="174">
        <v>1</v>
      </c>
      <c r="EY34" s="174">
        <v>3</v>
      </c>
      <c r="EZ34" s="174">
        <v>3</v>
      </c>
      <c r="FA34" s="174">
        <v>2</v>
      </c>
      <c r="FB34" s="174">
        <v>1</v>
      </c>
      <c r="FC34" s="174">
        <v>2</v>
      </c>
      <c r="FD34" s="174">
        <v>2</v>
      </c>
      <c r="FE34" s="174">
        <v>1</v>
      </c>
      <c r="FF34" s="174">
        <v>2</v>
      </c>
      <c r="FG34" s="174">
        <v>2</v>
      </c>
      <c r="FH34" s="174">
        <v>2</v>
      </c>
      <c r="FI34" s="174">
        <v>1</v>
      </c>
      <c r="FJ34" s="174">
        <v>2</v>
      </c>
      <c r="FK34" s="174">
        <v>2</v>
      </c>
      <c r="FL34" s="174">
        <v>1</v>
      </c>
      <c r="FM34" s="174">
        <v>2</v>
      </c>
      <c r="FN34" s="174">
        <v>1</v>
      </c>
      <c r="FO34" s="174">
        <v>2</v>
      </c>
      <c r="FP34" s="174">
        <v>1</v>
      </c>
      <c r="FQ34" s="174">
        <v>1</v>
      </c>
      <c r="FR34" s="174">
        <v>2</v>
      </c>
      <c r="FS34" s="174">
        <v>2</v>
      </c>
      <c r="FT34" s="174">
        <v>2</v>
      </c>
      <c r="FU34" s="174">
        <v>1</v>
      </c>
      <c r="FV34" s="174">
        <v>1</v>
      </c>
      <c r="FW34" s="174">
        <v>1</v>
      </c>
      <c r="FX34" s="174">
        <v>1</v>
      </c>
      <c r="FY34" s="174">
        <v>3</v>
      </c>
      <c r="FZ34" s="174">
        <v>3</v>
      </c>
      <c r="HA34" s="174">
        <v>33</v>
      </c>
      <c r="HB34" s="197">
        <v>31</v>
      </c>
      <c r="HC34" s="183">
        <v>36</v>
      </c>
      <c r="HD34" s="183">
        <v>61</v>
      </c>
      <c r="HE34" s="194">
        <v>25</v>
      </c>
      <c r="HF34" s="183">
        <v>96</v>
      </c>
      <c r="HG34" s="193">
        <f t="shared" si="3"/>
        <v>91</v>
      </c>
      <c r="HH34" s="192" t="e">
        <f t="shared" si="7"/>
        <v>#REF!</v>
      </c>
      <c r="HI34" s="198">
        <v>25</v>
      </c>
      <c r="HJ34" s="185">
        <v>101</v>
      </c>
      <c r="HK34" s="174">
        <v>32</v>
      </c>
      <c r="HL34" s="174">
        <f t="shared" ref="HL34:HL97" si="83">HL33+4</f>
        <v>198</v>
      </c>
      <c r="HM34" s="174">
        <f t="shared" ref="HM34:HM97" si="84">HM33+4</f>
        <v>188</v>
      </c>
      <c r="HN34" s="174">
        <f t="shared" ref="HN34:HN97" si="85">HN33+3</f>
        <v>166</v>
      </c>
      <c r="HO34" s="174">
        <f t="shared" ref="HO34:HO97" si="86">HO33+2</f>
        <v>154</v>
      </c>
      <c r="HP34" s="174">
        <f t="shared" ref="HP34:HP97" si="87">HP33+1</f>
        <v>152</v>
      </c>
      <c r="HQ34" s="174">
        <f t="shared" ref="HQ34:HQ97" si="88">HQ33+1</f>
        <v>142</v>
      </c>
      <c r="HR34" s="174">
        <f t="shared" ref="HR34:HR97" si="89">HR33+1</f>
        <v>142</v>
      </c>
      <c r="HS34" s="174">
        <f t="shared" ref="HS34:HS97" si="90">HS33+1</f>
        <v>132</v>
      </c>
      <c r="HT34" s="174">
        <f t="shared" ref="HT34:HT97" si="91">HT33+1</f>
        <v>122</v>
      </c>
      <c r="HU34" s="174">
        <f t="shared" ref="HU34:HU97" si="92">HU33+3</f>
        <v>156</v>
      </c>
      <c r="HV34" s="174">
        <f t="shared" ref="HV34:HV97" si="93">HV33+1</f>
        <v>142</v>
      </c>
      <c r="HW34" s="174">
        <f t="shared" ref="HW34:HW97" si="94">HW33+1</f>
        <v>132</v>
      </c>
      <c r="HX34" s="174">
        <f t="shared" ref="HX34:HX97" si="95">HX33+2</f>
        <v>134</v>
      </c>
      <c r="HY34" s="174">
        <f t="shared" ref="HY34:HY97" si="96">HY33+1</f>
        <v>122</v>
      </c>
      <c r="HZ34" s="174">
        <f t="shared" ref="HZ34:HZ97" si="97">HZ33+1</f>
        <v>112</v>
      </c>
      <c r="IA34" s="174">
        <f t="shared" ref="IA34:IA97" si="98">IA33+1</f>
        <v>102</v>
      </c>
      <c r="IB34" s="174">
        <f t="shared" ref="IB34:IB97" si="99">IB33+2</f>
        <v>124</v>
      </c>
      <c r="IC34" s="174">
        <f t="shared" ref="IC34:IC97" si="100">IC33+2</f>
        <v>104</v>
      </c>
      <c r="ID34" s="174">
        <f t="shared" ref="ID34:ID97" si="101">ID33+1</f>
        <v>92</v>
      </c>
      <c r="IE34" s="174">
        <f t="shared" ref="IE34:IE97" si="102">IE33+2</f>
        <v>94</v>
      </c>
      <c r="IF34" s="174">
        <f t="shared" ref="IF34:IF97" si="103">IF33+1</f>
        <v>92</v>
      </c>
      <c r="IG34" s="174">
        <f t="shared" ref="IG34:IG97" si="104">IG33+1</f>
        <v>72</v>
      </c>
      <c r="IH34" s="174">
        <f t="shared" ref="IH34:IH97" si="105">IH33+1</f>
        <v>62</v>
      </c>
      <c r="II34" s="174">
        <f t="shared" ref="II34:II97" si="106">II33+1</f>
        <v>42</v>
      </c>
      <c r="IJ34" s="174">
        <v>34</v>
      </c>
      <c r="IR34" s="174">
        <v>1100000</v>
      </c>
      <c r="IS34" s="174">
        <v>32</v>
      </c>
    </row>
    <row r="35" spans="1:253" ht="13.35" customHeight="1" x14ac:dyDescent="0.2">
      <c r="A35" s="183">
        <f t="shared" ref="A35:A66" si="107">A34+1</f>
        <v>34</v>
      </c>
      <c r="B35" s="183">
        <v>0</v>
      </c>
      <c r="C35" s="183">
        <f t="shared" ref="C35:C66" si="108">C34+1</f>
        <v>34</v>
      </c>
      <c r="E35" s="189" t="s">
        <v>657</v>
      </c>
      <c r="F35" s="190" t="s">
        <v>1067</v>
      </c>
      <c r="G35" s="190" t="s">
        <v>1067</v>
      </c>
      <c r="H35" s="190" t="s">
        <v>1067</v>
      </c>
      <c r="I35" s="190" t="s">
        <v>1039</v>
      </c>
      <c r="J35" s="190" t="s">
        <v>1068</v>
      </c>
      <c r="K35" s="190" t="s">
        <v>1069</v>
      </c>
      <c r="L35" s="190" t="s">
        <v>1069</v>
      </c>
      <c r="M35" s="190" t="s">
        <v>1069</v>
      </c>
      <c r="N35" s="190" t="s">
        <v>1069</v>
      </c>
      <c r="O35" s="190" t="s">
        <v>1070</v>
      </c>
      <c r="P35" s="190" t="s">
        <v>1070</v>
      </c>
      <c r="Q35" s="190" t="s">
        <v>1070</v>
      </c>
      <c r="R35" s="190" t="s">
        <v>1070</v>
      </c>
      <c r="S35" s="190" t="s">
        <v>1069</v>
      </c>
      <c r="T35" s="190" t="s">
        <v>1069</v>
      </c>
      <c r="U35" s="190" t="s">
        <v>1069</v>
      </c>
      <c r="V35" s="190" t="s">
        <v>930</v>
      </c>
      <c r="W35" s="190" t="s">
        <v>1069</v>
      </c>
      <c r="X35" s="190" t="s">
        <v>1042</v>
      </c>
      <c r="Y35" s="190" t="s">
        <v>1042</v>
      </c>
      <c r="Z35" s="190"/>
      <c r="AA35" s="190" t="s">
        <v>1069</v>
      </c>
      <c r="AB35" s="190" t="s">
        <v>1069</v>
      </c>
      <c r="AC35" s="190" t="s">
        <v>1067</v>
      </c>
      <c r="AD35" s="190" t="s">
        <v>1068</v>
      </c>
      <c r="AE35" s="190"/>
      <c r="AF35" s="190" t="s">
        <v>1069</v>
      </c>
      <c r="AG35" s="190" t="s">
        <v>1069</v>
      </c>
      <c r="AH35" s="190" t="s">
        <v>1069</v>
      </c>
      <c r="AI35" s="190"/>
      <c r="AJ35" s="190" t="s">
        <v>1069</v>
      </c>
      <c r="AK35" s="190" t="s">
        <v>1070</v>
      </c>
      <c r="AL35" s="190" t="s">
        <v>1070</v>
      </c>
      <c r="AM35" s="190" t="s">
        <v>1070</v>
      </c>
      <c r="AN35" s="190"/>
      <c r="AO35" s="190" t="s">
        <v>1069</v>
      </c>
      <c r="AP35" s="190" t="s">
        <v>1067</v>
      </c>
      <c r="AQ35" s="190" t="s">
        <v>1069</v>
      </c>
      <c r="AR35" s="190"/>
      <c r="AS35" s="190" t="s">
        <v>1069</v>
      </c>
      <c r="AT35" s="190" t="s">
        <v>1069</v>
      </c>
      <c r="AU35" s="190" t="s">
        <v>1069</v>
      </c>
      <c r="AV35" s="190" t="s">
        <v>1069</v>
      </c>
      <c r="AW35" s="190" t="s">
        <v>1069</v>
      </c>
      <c r="AX35" s="190" t="s">
        <v>1069</v>
      </c>
      <c r="AY35" s="190" t="s">
        <v>1069</v>
      </c>
      <c r="AZ35" s="190" t="s">
        <v>1069</v>
      </c>
      <c r="BA35" s="190" t="s">
        <v>1069</v>
      </c>
      <c r="BB35" s="190" t="s">
        <v>1069</v>
      </c>
      <c r="BC35" s="190" t="s">
        <v>1069</v>
      </c>
      <c r="BD35" s="190" t="s">
        <v>1069</v>
      </c>
      <c r="BE35" s="190" t="s">
        <v>1069</v>
      </c>
      <c r="BF35" s="190" t="s">
        <v>1069</v>
      </c>
      <c r="BG35" s="190" t="s">
        <v>1069</v>
      </c>
      <c r="BH35" s="190" t="s">
        <v>1069</v>
      </c>
      <c r="BI35" s="190" t="s">
        <v>1069</v>
      </c>
      <c r="BJ35" s="190" t="s">
        <v>1069</v>
      </c>
      <c r="BK35" s="190" t="s">
        <v>1069</v>
      </c>
      <c r="BL35" s="190" t="s">
        <v>1069</v>
      </c>
      <c r="BM35" s="190" t="s">
        <v>1069</v>
      </c>
      <c r="BN35" s="190" t="s">
        <v>1069</v>
      </c>
      <c r="BO35" s="190" t="s">
        <v>1069</v>
      </c>
      <c r="BP35" s="190" t="s">
        <v>1069</v>
      </c>
      <c r="BQ35" s="190" t="s">
        <v>1069</v>
      </c>
      <c r="BR35" s="190" t="s">
        <v>1069</v>
      </c>
      <c r="BS35" s="190" t="s">
        <v>1069</v>
      </c>
      <c r="BT35" s="190" t="s">
        <v>1069</v>
      </c>
      <c r="BU35" s="190" t="s">
        <v>1069</v>
      </c>
      <c r="BV35" s="190" t="s">
        <v>1069</v>
      </c>
      <c r="BW35" s="190" t="s">
        <v>1069</v>
      </c>
      <c r="BX35" s="190" t="s">
        <v>1069</v>
      </c>
      <c r="BY35" s="190" t="s">
        <v>1069</v>
      </c>
      <c r="BZ35" s="190" t="s">
        <v>1069</v>
      </c>
      <c r="CA35" s="190" t="s">
        <v>1069</v>
      </c>
      <c r="CB35" s="190" t="s">
        <v>1069</v>
      </c>
      <c r="CC35" s="190" t="s">
        <v>1069</v>
      </c>
      <c r="CD35" s="190" t="s">
        <v>1069</v>
      </c>
      <c r="CE35" s="190" t="s">
        <v>1069</v>
      </c>
      <c r="CF35" s="190" t="s">
        <v>1069</v>
      </c>
      <c r="CG35" s="190" t="s">
        <v>1069</v>
      </c>
      <c r="CH35" s="190" t="s">
        <v>1069</v>
      </c>
      <c r="CI35" s="190" t="s">
        <v>1069</v>
      </c>
      <c r="CJ35" s="190" t="s">
        <v>1069</v>
      </c>
      <c r="CK35" s="190" t="s">
        <v>1069</v>
      </c>
      <c r="CL35" s="190" t="s">
        <v>1069</v>
      </c>
      <c r="CM35" s="190" t="s">
        <v>1069</v>
      </c>
      <c r="CN35" s="190" t="s">
        <v>1069</v>
      </c>
      <c r="CO35" s="190" t="s">
        <v>1069</v>
      </c>
      <c r="CP35" s="190" t="s">
        <v>1069</v>
      </c>
      <c r="CQ35" s="190" t="s">
        <v>1069</v>
      </c>
      <c r="CR35" s="190"/>
      <c r="CS35" s="190" t="s">
        <v>1070</v>
      </c>
      <c r="CT35" s="190" t="s">
        <v>1068</v>
      </c>
      <c r="CU35" s="190" t="s">
        <v>1069</v>
      </c>
      <c r="CV35" s="190" t="s">
        <v>1071</v>
      </c>
      <c r="CW35" s="190"/>
      <c r="CX35" s="190" t="s">
        <v>1068</v>
      </c>
      <c r="CY35" s="190" t="s">
        <v>1068</v>
      </c>
      <c r="CZ35" s="190" t="s">
        <v>1068</v>
      </c>
      <c r="DA35" s="190" t="s">
        <v>1070</v>
      </c>
      <c r="DB35" s="190" t="s">
        <v>1069</v>
      </c>
      <c r="DC35" s="190" t="s">
        <v>1069</v>
      </c>
      <c r="DD35" s="190" t="s">
        <v>1070</v>
      </c>
      <c r="DE35" s="190"/>
      <c r="DF35" s="174">
        <v>34</v>
      </c>
      <c r="DH35" s="268" t="s">
        <v>4186</v>
      </c>
      <c r="DI35" s="268" t="s">
        <v>4192</v>
      </c>
      <c r="DJ35" s="268">
        <v>2</v>
      </c>
      <c r="DK35" s="268"/>
      <c r="DL35" s="268">
        <v>2</v>
      </c>
      <c r="DM35" s="268"/>
      <c r="DN35" s="268"/>
      <c r="DO35" s="268">
        <v>2</v>
      </c>
      <c r="DP35" s="268"/>
      <c r="DQ35" s="268"/>
      <c r="DR35" s="268">
        <v>2</v>
      </c>
      <c r="DS35" s="268"/>
      <c r="DT35" s="268"/>
      <c r="DU35" s="268"/>
      <c r="DV35" s="268"/>
      <c r="DW35" s="268"/>
      <c r="DX35" s="268"/>
      <c r="DY35" s="268">
        <v>1</v>
      </c>
      <c r="DZ35" s="268">
        <v>5</v>
      </c>
      <c r="EA35" s="268">
        <v>0.9</v>
      </c>
      <c r="EB35" s="268">
        <v>50</v>
      </c>
      <c r="EC35" s="174">
        <f t="shared" si="6"/>
        <v>8</v>
      </c>
      <c r="ED35" s="268" t="s">
        <v>4192</v>
      </c>
      <c r="EE35" s="174">
        <v>6543</v>
      </c>
      <c r="EF35" s="174">
        <v>6543</v>
      </c>
      <c r="EG35" s="174">
        <v>7654</v>
      </c>
      <c r="EH35" s="174">
        <v>6543</v>
      </c>
      <c r="EI35" s="174">
        <v>6543</v>
      </c>
      <c r="EJ35" s="174">
        <v>6543</v>
      </c>
      <c r="EK35" s="174">
        <v>6543</v>
      </c>
      <c r="EL35" s="174">
        <v>6421</v>
      </c>
      <c r="EN35" s="174" t="s">
        <v>724</v>
      </c>
      <c r="EO35" s="174">
        <v>4</v>
      </c>
      <c r="EP35" s="174">
        <v>2</v>
      </c>
      <c r="EQ35" s="174">
        <v>2</v>
      </c>
      <c r="ER35" s="174">
        <v>4</v>
      </c>
      <c r="ES35" s="174">
        <v>4</v>
      </c>
      <c r="ET35" s="174">
        <v>4</v>
      </c>
      <c r="EU35" s="174">
        <v>2</v>
      </c>
      <c r="EV35" s="174">
        <v>2</v>
      </c>
      <c r="EW35" s="174">
        <v>2</v>
      </c>
      <c r="EX35" s="174">
        <v>1</v>
      </c>
      <c r="EY35" s="174">
        <v>3</v>
      </c>
      <c r="EZ35" s="174">
        <v>3</v>
      </c>
      <c r="FA35" s="174">
        <v>2</v>
      </c>
      <c r="FB35" s="174">
        <v>1</v>
      </c>
      <c r="FC35" s="174">
        <v>2</v>
      </c>
      <c r="FD35" s="174">
        <v>2</v>
      </c>
      <c r="FE35" s="174">
        <v>1</v>
      </c>
      <c r="FF35" s="174">
        <v>2</v>
      </c>
      <c r="FG35" s="174">
        <v>2</v>
      </c>
      <c r="FH35" s="174">
        <v>2</v>
      </c>
      <c r="FI35" s="174">
        <v>1</v>
      </c>
      <c r="FJ35" s="174">
        <v>2</v>
      </c>
      <c r="FK35" s="174">
        <v>2</v>
      </c>
      <c r="FL35" s="174">
        <v>1</v>
      </c>
      <c r="FM35" s="174">
        <v>2</v>
      </c>
      <c r="FN35" s="174">
        <v>1</v>
      </c>
      <c r="FO35" s="174">
        <v>2</v>
      </c>
      <c r="FP35" s="174">
        <v>1</v>
      </c>
      <c r="FQ35" s="174">
        <v>1</v>
      </c>
      <c r="FR35" s="174">
        <v>2</v>
      </c>
      <c r="FS35" s="174">
        <v>2</v>
      </c>
      <c r="FT35" s="174">
        <v>2</v>
      </c>
      <c r="FU35" s="174">
        <v>1</v>
      </c>
      <c r="FV35" s="174">
        <v>1</v>
      </c>
      <c r="FW35" s="174">
        <v>1</v>
      </c>
      <c r="FX35" s="174">
        <v>1</v>
      </c>
      <c r="FY35" s="174">
        <v>3</v>
      </c>
      <c r="FZ35" s="174">
        <v>3</v>
      </c>
      <c r="HA35" s="174">
        <v>34</v>
      </c>
      <c r="HB35" s="197">
        <v>32</v>
      </c>
      <c r="HC35" s="183">
        <v>36</v>
      </c>
      <c r="HD35" s="183">
        <v>61</v>
      </c>
      <c r="HE35" s="194">
        <v>25</v>
      </c>
      <c r="HF35" s="183">
        <v>97</v>
      </c>
      <c r="HG35" s="193">
        <f t="shared" si="3"/>
        <v>92</v>
      </c>
      <c r="HH35" s="192" t="e">
        <f t="shared" si="7"/>
        <v>#REF!</v>
      </c>
      <c r="HI35" s="198">
        <v>25</v>
      </c>
      <c r="HJ35" s="185">
        <v>102</v>
      </c>
      <c r="HK35" s="174">
        <v>33</v>
      </c>
      <c r="HL35" s="174">
        <f t="shared" si="83"/>
        <v>202</v>
      </c>
      <c r="HM35" s="174">
        <f t="shared" si="84"/>
        <v>192</v>
      </c>
      <c r="HN35" s="174">
        <f t="shared" si="85"/>
        <v>169</v>
      </c>
      <c r="HO35" s="174">
        <f t="shared" si="86"/>
        <v>156</v>
      </c>
      <c r="HP35" s="174">
        <f t="shared" si="87"/>
        <v>153</v>
      </c>
      <c r="HQ35" s="174">
        <f t="shared" si="88"/>
        <v>143</v>
      </c>
      <c r="HR35" s="174">
        <f t="shared" si="89"/>
        <v>143</v>
      </c>
      <c r="HS35" s="174">
        <f t="shared" si="90"/>
        <v>133</v>
      </c>
      <c r="HT35" s="174">
        <f t="shared" si="91"/>
        <v>123</v>
      </c>
      <c r="HU35" s="174">
        <f t="shared" si="92"/>
        <v>159</v>
      </c>
      <c r="HV35" s="174">
        <f t="shared" si="93"/>
        <v>143</v>
      </c>
      <c r="HW35" s="174">
        <f t="shared" si="94"/>
        <v>133</v>
      </c>
      <c r="HX35" s="174">
        <f t="shared" si="95"/>
        <v>136</v>
      </c>
      <c r="HY35" s="174">
        <f t="shared" si="96"/>
        <v>123</v>
      </c>
      <c r="HZ35" s="174">
        <f t="shared" si="97"/>
        <v>113</v>
      </c>
      <c r="IA35" s="174">
        <f t="shared" si="98"/>
        <v>103</v>
      </c>
      <c r="IB35" s="174">
        <f t="shared" si="99"/>
        <v>126</v>
      </c>
      <c r="IC35" s="174">
        <f t="shared" si="100"/>
        <v>106</v>
      </c>
      <c r="ID35" s="174">
        <f t="shared" si="101"/>
        <v>93</v>
      </c>
      <c r="IE35" s="174">
        <f t="shared" si="102"/>
        <v>96</v>
      </c>
      <c r="IF35" s="174">
        <f t="shared" si="103"/>
        <v>93</v>
      </c>
      <c r="IG35" s="174">
        <f t="shared" si="104"/>
        <v>73</v>
      </c>
      <c r="IH35" s="174">
        <f t="shared" si="105"/>
        <v>63</v>
      </c>
      <c r="II35" s="174">
        <f t="shared" si="106"/>
        <v>43</v>
      </c>
      <c r="IJ35" s="174">
        <v>35</v>
      </c>
      <c r="IN35" s="174">
        <f>Skills!K185</f>
        <v>-9.01</v>
      </c>
      <c r="IO35" s="174" t="str">
        <f>Skills!B185</f>
        <v>Sweeps 2</v>
      </c>
      <c r="IR35" s="174">
        <v>1150000</v>
      </c>
      <c r="IS35" s="174">
        <v>33</v>
      </c>
    </row>
    <row r="36" spans="1:253" ht="13.35" customHeight="1" x14ac:dyDescent="0.2">
      <c r="A36" s="183">
        <f t="shared" si="107"/>
        <v>35</v>
      </c>
      <c r="B36" s="183">
        <v>0</v>
      </c>
      <c r="C36" s="183">
        <f t="shared" si="108"/>
        <v>35</v>
      </c>
      <c r="E36" s="199" t="s">
        <v>760</v>
      </c>
      <c r="F36" s="200" t="s">
        <v>1068</v>
      </c>
      <c r="G36" s="200" t="s">
        <v>1072</v>
      </c>
      <c r="H36" s="200" t="s">
        <v>1042</v>
      </c>
      <c r="I36" s="200" t="s">
        <v>1070</v>
      </c>
      <c r="J36" s="200" t="s">
        <v>1030</v>
      </c>
      <c r="K36" s="200" t="s">
        <v>1073</v>
      </c>
      <c r="L36" s="200" t="s">
        <v>1073</v>
      </c>
      <c r="M36" s="200" t="s">
        <v>1073</v>
      </c>
      <c r="N36" s="200" t="s">
        <v>1073</v>
      </c>
      <c r="O36" s="200" t="s">
        <v>1073</v>
      </c>
      <c r="P36" s="200" t="s">
        <v>1073</v>
      </c>
      <c r="Q36" s="200" t="s">
        <v>1074</v>
      </c>
      <c r="R36" s="200" t="s">
        <v>1074</v>
      </c>
      <c r="S36" s="200" t="s">
        <v>1074</v>
      </c>
      <c r="T36" s="200" t="s">
        <v>1031</v>
      </c>
      <c r="U36" s="200" t="s">
        <v>1031</v>
      </c>
      <c r="V36" s="200" t="s">
        <v>1031</v>
      </c>
      <c r="W36" s="200" t="s">
        <v>1031</v>
      </c>
      <c r="X36" s="200" t="s">
        <v>1031</v>
      </c>
      <c r="Y36" s="200" t="s">
        <v>1031</v>
      </c>
      <c r="Z36" s="200"/>
      <c r="AA36" s="200" t="s">
        <v>1075</v>
      </c>
      <c r="AB36" s="200" t="s">
        <v>1075</v>
      </c>
      <c r="AC36" s="200" t="s">
        <v>1075</v>
      </c>
      <c r="AD36" s="200" t="s">
        <v>1075</v>
      </c>
      <c r="AE36" s="200"/>
      <c r="AF36" s="200" t="s">
        <v>1074</v>
      </c>
      <c r="AG36" s="200" t="s">
        <v>1073</v>
      </c>
      <c r="AH36" s="200" t="s">
        <v>1031</v>
      </c>
      <c r="AI36" s="200"/>
      <c r="AJ36" s="200" t="s">
        <v>1031</v>
      </c>
      <c r="AK36" s="200" t="s">
        <v>1074</v>
      </c>
      <c r="AL36" s="200" t="s">
        <v>1073</v>
      </c>
      <c r="AM36" s="200" t="s">
        <v>1074</v>
      </c>
      <c r="AN36" s="200"/>
      <c r="AO36" s="200" t="s">
        <v>1074</v>
      </c>
      <c r="AP36" s="200" t="s">
        <v>1074</v>
      </c>
      <c r="AQ36" s="200" t="s">
        <v>1031</v>
      </c>
      <c r="AR36" s="200"/>
      <c r="AS36" s="200" t="s">
        <v>1073</v>
      </c>
      <c r="AT36" s="200" t="s">
        <v>1073</v>
      </c>
      <c r="AU36" s="200" t="s">
        <v>1073</v>
      </c>
      <c r="AV36" s="200" t="s">
        <v>1073</v>
      </c>
      <c r="AW36" s="200" t="s">
        <v>1073</v>
      </c>
      <c r="AX36" s="200" t="s">
        <v>1073</v>
      </c>
      <c r="AY36" s="200" t="s">
        <v>1073</v>
      </c>
      <c r="AZ36" s="200" t="s">
        <v>1073</v>
      </c>
      <c r="BA36" s="200" t="s">
        <v>1073</v>
      </c>
      <c r="BB36" s="200" t="s">
        <v>1073</v>
      </c>
      <c r="BC36" s="200" t="s">
        <v>1073</v>
      </c>
      <c r="BD36" s="200" t="s">
        <v>1073</v>
      </c>
      <c r="BE36" s="200" t="s">
        <v>1073</v>
      </c>
      <c r="BF36" s="200" t="s">
        <v>1073</v>
      </c>
      <c r="BG36" s="200" t="s">
        <v>1073</v>
      </c>
      <c r="BH36" s="200" t="s">
        <v>1073</v>
      </c>
      <c r="BI36" s="200" t="s">
        <v>1073</v>
      </c>
      <c r="BJ36" s="200" t="s">
        <v>1073</v>
      </c>
      <c r="BK36" s="200" t="s">
        <v>1073</v>
      </c>
      <c r="BL36" s="200" t="s">
        <v>1073</v>
      </c>
      <c r="BM36" s="200" t="s">
        <v>1073</v>
      </c>
      <c r="BN36" s="200" t="s">
        <v>1073</v>
      </c>
      <c r="BO36" s="200" t="s">
        <v>1073</v>
      </c>
      <c r="BP36" s="200" t="s">
        <v>1073</v>
      </c>
      <c r="BQ36" s="200" t="s">
        <v>1073</v>
      </c>
      <c r="BR36" s="200" t="s">
        <v>1073</v>
      </c>
      <c r="BS36" s="200" t="s">
        <v>1073</v>
      </c>
      <c r="BT36" s="200" t="s">
        <v>1073</v>
      </c>
      <c r="BU36" s="200" t="s">
        <v>1073</v>
      </c>
      <c r="BV36" s="200" t="s">
        <v>1073</v>
      </c>
      <c r="BW36" s="200" t="s">
        <v>1073</v>
      </c>
      <c r="BX36" s="200" t="s">
        <v>1073</v>
      </c>
      <c r="BY36" s="200" t="s">
        <v>1073</v>
      </c>
      <c r="BZ36" s="200" t="s">
        <v>1073</v>
      </c>
      <c r="CA36" s="200" t="s">
        <v>1073</v>
      </c>
      <c r="CB36" s="200" t="s">
        <v>1073</v>
      </c>
      <c r="CC36" s="200" t="s">
        <v>1073</v>
      </c>
      <c r="CD36" s="200" t="s">
        <v>1073</v>
      </c>
      <c r="CE36" s="200" t="s">
        <v>1073</v>
      </c>
      <c r="CF36" s="200" t="s">
        <v>1073</v>
      </c>
      <c r="CG36" s="200" t="s">
        <v>1073</v>
      </c>
      <c r="CH36" s="200" t="s">
        <v>1073</v>
      </c>
      <c r="CI36" s="200" t="s">
        <v>1073</v>
      </c>
      <c r="CJ36" s="200" t="s">
        <v>1073</v>
      </c>
      <c r="CK36" s="200" t="s">
        <v>1073</v>
      </c>
      <c r="CL36" s="200" t="s">
        <v>1073</v>
      </c>
      <c r="CM36" s="200" t="s">
        <v>1073</v>
      </c>
      <c r="CN36" s="200" t="s">
        <v>1073</v>
      </c>
      <c r="CO36" s="200" t="s">
        <v>1073</v>
      </c>
      <c r="CP36" s="200" t="s">
        <v>1073</v>
      </c>
      <c r="CQ36" s="200" t="s">
        <v>1073</v>
      </c>
      <c r="CR36" s="200"/>
      <c r="CS36" s="200" t="s">
        <v>1067</v>
      </c>
      <c r="CT36" s="200" t="s">
        <v>1070</v>
      </c>
      <c r="CU36" s="200" t="s">
        <v>1037</v>
      </c>
      <c r="CV36" s="200" t="s">
        <v>1042</v>
      </c>
      <c r="CW36" s="200"/>
      <c r="CX36" s="200" t="s">
        <v>1031</v>
      </c>
      <c r="CY36" s="200" t="s">
        <v>1074</v>
      </c>
      <c r="CZ36" s="200" t="s">
        <v>1074</v>
      </c>
      <c r="DA36" s="200" t="s">
        <v>1068</v>
      </c>
      <c r="DB36" s="200" t="s">
        <v>1073</v>
      </c>
      <c r="DC36" s="200" t="s">
        <v>1073</v>
      </c>
      <c r="DD36" s="200" t="s">
        <v>1073</v>
      </c>
      <c r="DE36" s="200"/>
      <c r="DF36" s="201">
        <v>35</v>
      </c>
      <c r="DH36" s="268" t="s">
        <v>4186</v>
      </c>
      <c r="DI36" s="268" t="s">
        <v>4203</v>
      </c>
      <c r="DJ36" s="268">
        <v>2</v>
      </c>
      <c r="DK36" s="268">
        <v>2</v>
      </c>
      <c r="DL36" s="268"/>
      <c r="DM36" s="268"/>
      <c r="DN36" s="268"/>
      <c r="DO36" s="268">
        <v>2</v>
      </c>
      <c r="DP36" s="268">
        <v>2</v>
      </c>
      <c r="DQ36" s="268">
        <v>-2</v>
      </c>
      <c r="DR36" s="268">
        <v>2</v>
      </c>
      <c r="DS36" s="268">
        <v>-2</v>
      </c>
      <c r="DT36" s="268"/>
      <c r="DU36" s="268"/>
      <c r="DV36" s="268"/>
      <c r="DW36" s="268"/>
      <c r="DX36" s="268"/>
      <c r="DY36" s="268">
        <v>1</v>
      </c>
      <c r="DZ36" s="268">
        <v>5</v>
      </c>
      <c r="EA36" s="268">
        <v>1</v>
      </c>
      <c r="EB36" s="268">
        <v>50</v>
      </c>
      <c r="EC36" s="174">
        <f t="shared" si="6"/>
        <v>6</v>
      </c>
      <c r="ED36" s="268" t="s">
        <v>4203</v>
      </c>
      <c r="EE36" s="174">
        <v>6543</v>
      </c>
      <c r="EF36" s="174">
        <v>6543</v>
      </c>
      <c r="EG36" s="174">
        <v>7654</v>
      </c>
      <c r="EH36" s="174">
        <v>6543</v>
      </c>
      <c r="EI36" s="174">
        <v>6543</v>
      </c>
      <c r="EJ36" s="174">
        <v>6543</v>
      </c>
      <c r="EK36" s="174">
        <v>6543</v>
      </c>
      <c r="EL36" s="174">
        <v>6521</v>
      </c>
      <c r="EN36" s="182" t="s">
        <v>725</v>
      </c>
      <c r="EO36" s="174">
        <v>2</v>
      </c>
      <c r="EP36" s="174">
        <v>2</v>
      </c>
      <c r="EQ36" s="174">
        <v>2</v>
      </c>
      <c r="ER36" s="174">
        <v>1</v>
      </c>
      <c r="ES36" s="174">
        <v>1</v>
      </c>
      <c r="ET36" s="174">
        <v>1</v>
      </c>
      <c r="EU36" s="174">
        <v>1</v>
      </c>
      <c r="EV36" s="174">
        <v>1</v>
      </c>
      <c r="EW36" s="174">
        <v>1</v>
      </c>
      <c r="EX36" s="174">
        <v>1</v>
      </c>
      <c r="EY36" s="174">
        <v>1</v>
      </c>
      <c r="EZ36" s="174">
        <v>1</v>
      </c>
      <c r="FA36" s="174">
        <v>1</v>
      </c>
      <c r="FB36" s="174">
        <v>1</v>
      </c>
      <c r="FC36" s="174">
        <v>1</v>
      </c>
      <c r="FD36" s="174">
        <v>1</v>
      </c>
      <c r="FE36" s="174">
        <v>1</v>
      </c>
      <c r="FF36" s="174">
        <v>2</v>
      </c>
      <c r="FG36" s="174">
        <v>1</v>
      </c>
      <c r="FH36" s="174">
        <v>2</v>
      </c>
      <c r="FI36" s="174">
        <v>1</v>
      </c>
      <c r="FJ36" s="174">
        <v>1</v>
      </c>
      <c r="FK36" s="174">
        <v>1</v>
      </c>
      <c r="FL36" s="174">
        <v>1</v>
      </c>
      <c r="FM36" s="174">
        <v>1</v>
      </c>
      <c r="FN36" s="174">
        <v>1</v>
      </c>
      <c r="FO36" s="174">
        <v>1</v>
      </c>
      <c r="FP36" s="174">
        <v>1</v>
      </c>
      <c r="FQ36" s="174">
        <v>1</v>
      </c>
      <c r="FR36" s="174">
        <v>2</v>
      </c>
      <c r="FS36" s="174">
        <v>1</v>
      </c>
      <c r="FT36" s="174">
        <v>1</v>
      </c>
      <c r="FU36" s="174">
        <v>1</v>
      </c>
      <c r="FV36" s="174">
        <v>1</v>
      </c>
      <c r="FW36" s="174">
        <v>1</v>
      </c>
      <c r="FX36" s="174">
        <v>1</v>
      </c>
      <c r="FY36" s="174">
        <v>1</v>
      </c>
      <c r="FZ36" s="174">
        <v>1</v>
      </c>
      <c r="HA36" s="174">
        <v>35</v>
      </c>
      <c r="HB36" s="197">
        <v>33</v>
      </c>
      <c r="HC36" s="183">
        <v>37</v>
      </c>
      <c r="HD36" s="183">
        <v>62</v>
      </c>
      <c r="HE36" s="194">
        <v>25</v>
      </c>
      <c r="HF36" s="183">
        <v>98</v>
      </c>
      <c r="HG36" s="193">
        <f t="shared" si="3"/>
        <v>93</v>
      </c>
      <c r="HH36" s="192" t="e">
        <f t="shared" ref="HH36:HH67" si="109">HLOOKUP($B$155,$HK$1:$IK$202,$IJ35,0)</f>
        <v>#REF!</v>
      </c>
      <c r="HI36" s="198">
        <v>25</v>
      </c>
      <c r="HJ36" s="185">
        <v>103</v>
      </c>
      <c r="HK36" s="174">
        <v>34</v>
      </c>
      <c r="HL36" s="174">
        <f t="shared" si="83"/>
        <v>206</v>
      </c>
      <c r="HM36" s="174">
        <f t="shared" si="84"/>
        <v>196</v>
      </c>
      <c r="HN36" s="174">
        <f t="shared" si="85"/>
        <v>172</v>
      </c>
      <c r="HO36" s="174">
        <f t="shared" si="86"/>
        <v>158</v>
      </c>
      <c r="HP36" s="174">
        <f t="shared" si="87"/>
        <v>154</v>
      </c>
      <c r="HQ36" s="174">
        <f t="shared" si="88"/>
        <v>144</v>
      </c>
      <c r="HR36" s="174">
        <f t="shared" si="89"/>
        <v>144</v>
      </c>
      <c r="HS36" s="174">
        <f t="shared" si="90"/>
        <v>134</v>
      </c>
      <c r="HT36" s="174">
        <f t="shared" si="91"/>
        <v>124</v>
      </c>
      <c r="HU36" s="174">
        <f t="shared" si="92"/>
        <v>162</v>
      </c>
      <c r="HV36" s="174">
        <f t="shared" si="93"/>
        <v>144</v>
      </c>
      <c r="HW36" s="174">
        <f t="shared" si="94"/>
        <v>134</v>
      </c>
      <c r="HX36" s="174">
        <f t="shared" si="95"/>
        <v>138</v>
      </c>
      <c r="HY36" s="174">
        <f t="shared" si="96"/>
        <v>124</v>
      </c>
      <c r="HZ36" s="174">
        <f t="shared" si="97"/>
        <v>114</v>
      </c>
      <c r="IA36" s="174">
        <f t="shared" si="98"/>
        <v>104</v>
      </c>
      <c r="IB36" s="174">
        <f t="shared" si="99"/>
        <v>128</v>
      </c>
      <c r="IC36" s="174">
        <f t="shared" si="100"/>
        <v>108</v>
      </c>
      <c r="ID36" s="174">
        <f t="shared" si="101"/>
        <v>94</v>
      </c>
      <c r="IE36" s="174">
        <f t="shared" si="102"/>
        <v>98</v>
      </c>
      <c r="IF36" s="174">
        <f t="shared" si="103"/>
        <v>94</v>
      </c>
      <c r="IG36" s="174">
        <f t="shared" si="104"/>
        <v>74</v>
      </c>
      <c r="IH36" s="174">
        <f t="shared" si="105"/>
        <v>64</v>
      </c>
      <c r="II36" s="174">
        <f t="shared" si="106"/>
        <v>44</v>
      </c>
      <c r="IJ36" s="174">
        <v>36</v>
      </c>
      <c r="IN36" s="174">
        <f>Skills!K186</f>
        <v>-9.01</v>
      </c>
      <c r="IO36" s="174" t="str">
        <f>Skills!B186</f>
        <v>Sweeps 1</v>
      </c>
      <c r="IR36" s="174">
        <v>1200000</v>
      </c>
      <c r="IS36" s="174">
        <v>34</v>
      </c>
    </row>
    <row r="37" spans="1:253" ht="13.35" customHeight="1" x14ac:dyDescent="0.2">
      <c r="A37" s="183">
        <f t="shared" si="107"/>
        <v>36</v>
      </c>
      <c r="B37" s="183">
        <v>0</v>
      </c>
      <c r="C37" s="183">
        <f t="shared" si="108"/>
        <v>36</v>
      </c>
      <c r="D37" s="174">
        <v>120</v>
      </c>
      <c r="E37" s="189" t="s">
        <v>764</v>
      </c>
      <c r="F37" s="190" t="s">
        <v>1077</v>
      </c>
      <c r="G37" s="190" t="s">
        <v>1077</v>
      </c>
      <c r="H37" s="190" t="s">
        <v>1077</v>
      </c>
      <c r="I37" s="190" t="s">
        <v>1077</v>
      </c>
      <c r="J37" s="190" t="s">
        <v>1077</v>
      </c>
      <c r="K37" s="190" t="s">
        <v>1078</v>
      </c>
      <c r="L37" s="190" t="s">
        <v>1078</v>
      </c>
      <c r="M37" s="190" t="s">
        <v>1078</v>
      </c>
      <c r="N37" s="190" t="s">
        <v>1078</v>
      </c>
      <c r="O37" s="190" t="s">
        <v>1078</v>
      </c>
      <c r="P37" s="190" t="s">
        <v>1078</v>
      </c>
      <c r="Q37" s="190" t="s">
        <v>1079</v>
      </c>
      <c r="R37" s="190" t="s">
        <v>1079</v>
      </c>
      <c r="S37" s="190" t="s">
        <v>1079</v>
      </c>
      <c r="T37" s="190" t="s">
        <v>1080</v>
      </c>
      <c r="U37" s="190" t="s">
        <v>1080</v>
      </c>
      <c r="V37" s="190" t="s">
        <v>1080</v>
      </c>
      <c r="W37" s="190" t="s">
        <v>1080</v>
      </c>
      <c r="X37" s="190" t="s">
        <v>1080</v>
      </c>
      <c r="Y37" s="190" t="s">
        <v>1080</v>
      </c>
      <c r="Z37" s="190"/>
      <c r="AA37" s="190" t="s">
        <v>1081</v>
      </c>
      <c r="AB37" s="190" t="s">
        <v>1081</v>
      </c>
      <c r="AC37" s="190" t="s">
        <v>1079</v>
      </c>
      <c r="AD37" s="190" t="s">
        <v>1079</v>
      </c>
      <c r="AE37" s="190"/>
      <c r="AF37" s="190" t="s">
        <v>1079</v>
      </c>
      <c r="AG37" s="190" t="s">
        <v>1078</v>
      </c>
      <c r="AH37" s="190" t="s">
        <v>1080</v>
      </c>
      <c r="AI37" s="190"/>
      <c r="AJ37" s="190" t="s">
        <v>1080</v>
      </c>
      <c r="AK37" s="190" t="s">
        <v>1079</v>
      </c>
      <c r="AL37" s="190" t="s">
        <v>1078</v>
      </c>
      <c r="AM37" s="190" t="s">
        <v>1079</v>
      </c>
      <c r="AN37" s="190"/>
      <c r="AO37" s="190" t="s">
        <v>1079</v>
      </c>
      <c r="AP37" s="190" t="s">
        <v>1079</v>
      </c>
      <c r="AQ37" s="190" t="s">
        <v>1080</v>
      </c>
      <c r="AR37" s="190"/>
      <c r="AS37" s="190" t="s">
        <v>1078</v>
      </c>
      <c r="AT37" s="190" t="s">
        <v>1078</v>
      </c>
      <c r="AU37" s="190" t="s">
        <v>1078</v>
      </c>
      <c r="AV37" s="190" t="s">
        <v>1078</v>
      </c>
      <c r="AW37" s="190" t="s">
        <v>1078</v>
      </c>
      <c r="AX37" s="190" t="s">
        <v>1078</v>
      </c>
      <c r="AY37" s="190" t="s">
        <v>1078</v>
      </c>
      <c r="AZ37" s="190" t="s">
        <v>1078</v>
      </c>
      <c r="BA37" s="190" t="s">
        <v>1078</v>
      </c>
      <c r="BB37" s="190" t="s">
        <v>1078</v>
      </c>
      <c r="BC37" s="190" t="s">
        <v>1078</v>
      </c>
      <c r="BD37" s="190" t="s">
        <v>1078</v>
      </c>
      <c r="BE37" s="190" t="s">
        <v>1078</v>
      </c>
      <c r="BF37" s="190" t="s">
        <v>1078</v>
      </c>
      <c r="BG37" s="190" t="s">
        <v>1078</v>
      </c>
      <c r="BH37" s="190" t="s">
        <v>1078</v>
      </c>
      <c r="BI37" s="190" t="s">
        <v>1078</v>
      </c>
      <c r="BJ37" s="190" t="s">
        <v>1078</v>
      </c>
      <c r="BK37" s="190" t="s">
        <v>1078</v>
      </c>
      <c r="BL37" s="190" t="s">
        <v>1078</v>
      </c>
      <c r="BM37" s="190" t="s">
        <v>1078</v>
      </c>
      <c r="BN37" s="190" t="s">
        <v>1078</v>
      </c>
      <c r="BO37" s="190" t="s">
        <v>1078</v>
      </c>
      <c r="BP37" s="190" t="s">
        <v>1078</v>
      </c>
      <c r="BQ37" s="190" t="s">
        <v>1078</v>
      </c>
      <c r="BR37" s="190" t="s">
        <v>1078</v>
      </c>
      <c r="BS37" s="190" t="s">
        <v>1078</v>
      </c>
      <c r="BT37" s="190" t="s">
        <v>1078</v>
      </c>
      <c r="BU37" s="190" t="s">
        <v>1078</v>
      </c>
      <c r="BV37" s="190" t="s">
        <v>1078</v>
      </c>
      <c r="BW37" s="190" t="s">
        <v>1078</v>
      </c>
      <c r="BX37" s="190" t="s">
        <v>1078</v>
      </c>
      <c r="BY37" s="190" t="s">
        <v>1078</v>
      </c>
      <c r="BZ37" s="190" t="s">
        <v>1078</v>
      </c>
      <c r="CA37" s="190" t="s">
        <v>1078</v>
      </c>
      <c r="CB37" s="190" t="s">
        <v>1078</v>
      </c>
      <c r="CC37" s="190" t="s">
        <v>1078</v>
      </c>
      <c r="CD37" s="190" t="s">
        <v>1078</v>
      </c>
      <c r="CE37" s="190" t="s">
        <v>1078</v>
      </c>
      <c r="CF37" s="190" t="s">
        <v>1078</v>
      </c>
      <c r="CG37" s="190" t="s">
        <v>1078</v>
      </c>
      <c r="CH37" s="190" t="s">
        <v>1078</v>
      </c>
      <c r="CI37" s="190" t="s">
        <v>1078</v>
      </c>
      <c r="CJ37" s="190" t="s">
        <v>1078</v>
      </c>
      <c r="CK37" s="190" t="s">
        <v>1078</v>
      </c>
      <c r="CL37" s="190" t="s">
        <v>1078</v>
      </c>
      <c r="CM37" s="190" t="s">
        <v>1078</v>
      </c>
      <c r="CN37" s="190" t="s">
        <v>1078</v>
      </c>
      <c r="CO37" s="190" t="s">
        <v>1078</v>
      </c>
      <c r="CP37" s="190" t="s">
        <v>1078</v>
      </c>
      <c r="CQ37" s="190" t="s">
        <v>1078</v>
      </c>
      <c r="CR37" s="190"/>
      <c r="CS37" s="190" t="s">
        <v>1077</v>
      </c>
      <c r="CT37" s="190" t="s">
        <v>1077</v>
      </c>
      <c r="CU37" s="190" t="s">
        <v>1082</v>
      </c>
      <c r="CV37" s="190" t="s">
        <v>1077</v>
      </c>
      <c r="CW37" s="190"/>
      <c r="CX37" s="190" t="s">
        <v>1080</v>
      </c>
      <c r="CY37" s="190" t="s">
        <v>1079</v>
      </c>
      <c r="CZ37" s="190" t="s">
        <v>1079</v>
      </c>
      <c r="DA37" s="190" t="s">
        <v>1083</v>
      </c>
      <c r="DB37" s="190" t="s">
        <v>1078</v>
      </c>
      <c r="DC37" s="190" t="s">
        <v>1078</v>
      </c>
      <c r="DD37" s="190" t="s">
        <v>1078</v>
      </c>
      <c r="DE37" s="190"/>
      <c r="DF37" s="174">
        <v>36</v>
      </c>
      <c r="DH37" s="268" t="s">
        <v>4186</v>
      </c>
      <c r="DI37" s="268" t="s">
        <v>4377</v>
      </c>
      <c r="DJ37" s="268">
        <v>4</v>
      </c>
      <c r="DK37" s="268">
        <v>-2</v>
      </c>
      <c r="DL37" s="268">
        <v>4</v>
      </c>
      <c r="DM37" s="268"/>
      <c r="DN37" s="268"/>
      <c r="DO37" s="268">
        <v>4</v>
      </c>
      <c r="DP37" s="268">
        <v>-2</v>
      </c>
      <c r="DQ37" s="268">
        <v>-2</v>
      </c>
      <c r="DR37" s="268"/>
      <c r="DS37" s="268">
        <v>4</v>
      </c>
      <c r="DT37" s="268">
        <v>20</v>
      </c>
      <c r="DU37" s="268"/>
      <c r="DV37" s="268"/>
      <c r="DW37" s="268"/>
      <c r="DX37" s="268"/>
      <c r="DY37" s="268">
        <v>1</v>
      </c>
      <c r="DZ37" s="268">
        <v>5</v>
      </c>
      <c r="EA37" s="268">
        <v>1</v>
      </c>
      <c r="EB37" s="268">
        <v>40</v>
      </c>
      <c r="EC37" s="174">
        <f t="shared" si="6"/>
        <v>10</v>
      </c>
      <c r="ED37" s="268" t="s">
        <v>4377</v>
      </c>
      <c r="EE37" s="174">
        <v>6543</v>
      </c>
      <c r="EF37" s="174">
        <v>6543</v>
      </c>
      <c r="EG37" s="174">
        <v>7654</v>
      </c>
      <c r="EH37" s="174">
        <v>6543</v>
      </c>
      <c r="EI37" s="174">
        <v>6543</v>
      </c>
      <c r="EJ37" s="174">
        <v>6543</v>
      </c>
      <c r="EK37" s="174">
        <v>6543</v>
      </c>
      <c r="EL37" s="174">
        <v>6521</v>
      </c>
      <c r="EN37" s="174" t="s">
        <v>1084</v>
      </c>
      <c r="EO37" s="174">
        <v>2</v>
      </c>
      <c r="EP37" s="174">
        <v>2</v>
      </c>
      <c r="EQ37" s="174">
        <v>2</v>
      </c>
      <c r="ER37" s="174">
        <v>1</v>
      </c>
      <c r="ES37" s="174">
        <v>1</v>
      </c>
      <c r="ET37" s="174">
        <v>1</v>
      </c>
      <c r="EU37" s="174">
        <v>1</v>
      </c>
      <c r="EV37" s="174">
        <v>1</v>
      </c>
      <c r="EW37" s="174">
        <v>1</v>
      </c>
      <c r="EX37" s="174">
        <v>1</v>
      </c>
      <c r="EY37" s="174">
        <v>1</v>
      </c>
      <c r="EZ37" s="174">
        <v>1</v>
      </c>
      <c r="FA37" s="174">
        <v>1</v>
      </c>
      <c r="FB37" s="174">
        <v>1</v>
      </c>
      <c r="FC37" s="174">
        <v>1</v>
      </c>
      <c r="FD37" s="174">
        <v>1</v>
      </c>
      <c r="FE37" s="174">
        <v>1</v>
      </c>
      <c r="FF37" s="174">
        <v>2</v>
      </c>
      <c r="FG37" s="174">
        <v>1</v>
      </c>
      <c r="FH37" s="174">
        <v>2</v>
      </c>
      <c r="FI37" s="174">
        <v>1</v>
      </c>
      <c r="FJ37" s="174">
        <v>1</v>
      </c>
      <c r="FK37" s="174">
        <v>1</v>
      </c>
      <c r="FL37" s="174">
        <v>1</v>
      </c>
      <c r="FM37" s="174">
        <v>1</v>
      </c>
      <c r="FN37" s="174">
        <v>1</v>
      </c>
      <c r="FO37" s="174">
        <v>1</v>
      </c>
      <c r="FP37" s="174">
        <v>1</v>
      </c>
      <c r="FQ37" s="174">
        <v>1</v>
      </c>
      <c r="FR37" s="174">
        <v>2</v>
      </c>
      <c r="FS37" s="174">
        <v>1</v>
      </c>
      <c r="FT37" s="174">
        <v>1</v>
      </c>
      <c r="FU37" s="174">
        <v>1</v>
      </c>
      <c r="FV37" s="174">
        <v>1</v>
      </c>
      <c r="FW37" s="174">
        <v>1</v>
      </c>
      <c r="FX37" s="174">
        <v>1</v>
      </c>
      <c r="FY37" s="174">
        <v>1</v>
      </c>
      <c r="FZ37" s="174">
        <v>1</v>
      </c>
      <c r="HA37" s="174">
        <v>36</v>
      </c>
      <c r="HB37" s="197">
        <v>34</v>
      </c>
      <c r="HC37" s="183">
        <v>37</v>
      </c>
      <c r="HD37" s="183">
        <v>62</v>
      </c>
      <c r="HE37" s="194">
        <v>25</v>
      </c>
      <c r="HF37" s="183">
        <v>99</v>
      </c>
      <c r="HG37" s="193">
        <f t="shared" si="3"/>
        <v>94</v>
      </c>
      <c r="HH37" s="192" t="e">
        <f t="shared" si="109"/>
        <v>#REF!</v>
      </c>
      <c r="HI37" s="198">
        <v>25</v>
      </c>
      <c r="HJ37" s="185">
        <v>104</v>
      </c>
      <c r="HK37" s="174">
        <v>35</v>
      </c>
      <c r="HL37" s="174">
        <f t="shared" si="83"/>
        <v>210</v>
      </c>
      <c r="HM37" s="174">
        <f t="shared" si="84"/>
        <v>200</v>
      </c>
      <c r="HN37" s="174">
        <f t="shared" si="85"/>
        <v>175</v>
      </c>
      <c r="HO37" s="174">
        <f t="shared" si="86"/>
        <v>160</v>
      </c>
      <c r="HP37" s="174">
        <f t="shared" si="87"/>
        <v>155</v>
      </c>
      <c r="HQ37" s="174">
        <f t="shared" si="88"/>
        <v>145</v>
      </c>
      <c r="HR37" s="174">
        <f t="shared" si="89"/>
        <v>145</v>
      </c>
      <c r="HS37" s="174">
        <f t="shared" si="90"/>
        <v>135</v>
      </c>
      <c r="HT37" s="174">
        <f t="shared" si="91"/>
        <v>125</v>
      </c>
      <c r="HU37" s="174">
        <f t="shared" si="92"/>
        <v>165</v>
      </c>
      <c r="HV37" s="174">
        <f t="shared" si="93"/>
        <v>145</v>
      </c>
      <c r="HW37" s="174">
        <f t="shared" si="94"/>
        <v>135</v>
      </c>
      <c r="HX37" s="174">
        <f t="shared" si="95"/>
        <v>140</v>
      </c>
      <c r="HY37" s="174">
        <f t="shared" si="96"/>
        <v>125</v>
      </c>
      <c r="HZ37" s="174">
        <f t="shared" si="97"/>
        <v>115</v>
      </c>
      <c r="IA37" s="174">
        <f t="shared" si="98"/>
        <v>105</v>
      </c>
      <c r="IB37" s="174">
        <f t="shared" si="99"/>
        <v>130</v>
      </c>
      <c r="IC37" s="174">
        <f t="shared" si="100"/>
        <v>110</v>
      </c>
      <c r="ID37" s="174">
        <f t="shared" si="101"/>
        <v>95</v>
      </c>
      <c r="IE37" s="174">
        <f t="shared" si="102"/>
        <v>100</v>
      </c>
      <c r="IF37" s="174">
        <f t="shared" si="103"/>
        <v>95</v>
      </c>
      <c r="IG37" s="174">
        <f t="shared" si="104"/>
        <v>75</v>
      </c>
      <c r="IH37" s="174">
        <f t="shared" si="105"/>
        <v>65</v>
      </c>
      <c r="II37" s="174">
        <f t="shared" si="106"/>
        <v>45</v>
      </c>
      <c r="IJ37" s="174">
        <v>37</v>
      </c>
      <c r="IN37" s="174">
        <f>Skills!K183</f>
        <v>-21.009999999999998</v>
      </c>
      <c r="IO37" s="174" t="str">
        <f>Skills!B183</f>
        <v>Sweeps 4</v>
      </c>
      <c r="IR37" s="174">
        <v>1250000</v>
      </c>
      <c r="IS37" s="174">
        <v>35</v>
      </c>
    </row>
    <row r="38" spans="1:253" ht="13.35" customHeight="1" x14ac:dyDescent="0.2">
      <c r="A38" s="183">
        <f t="shared" si="107"/>
        <v>37</v>
      </c>
      <c r="B38" s="183">
        <v>0</v>
      </c>
      <c r="C38" s="183">
        <f t="shared" si="108"/>
        <v>37</v>
      </c>
      <c r="D38" s="174">
        <v>90</v>
      </c>
      <c r="E38" s="189" t="s">
        <v>762</v>
      </c>
      <c r="F38" s="190" t="s">
        <v>1085</v>
      </c>
      <c r="G38" s="190" t="s">
        <v>1080</v>
      </c>
      <c r="H38" s="190" t="s">
        <v>1079</v>
      </c>
      <c r="I38" s="190" t="s">
        <v>1086</v>
      </c>
      <c r="J38" s="190" t="s">
        <v>1087</v>
      </c>
      <c r="K38" s="190" t="s">
        <v>1088</v>
      </c>
      <c r="L38" s="190" t="s">
        <v>1088</v>
      </c>
      <c r="M38" s="190" t="s">
        <v>1088</v>
      </c>
      <c r="N38" s="190" t="s">
        <v>1088</v>
      </c>
      <c r="O38" s="190" t="s">
        <v>1088</v>
      </c>
      <c r="P38" s="190" t="s">
        <v>1088</v>
      </c>
      <c r="Q38" s="190" t="s">
        <v>1089</v>
      </c>
      <c r="R38" s="190" t="s">
        <v>1089</v>
      </c>
      <c r="S38" s="190" t="s">
        <v>1089</v>
      </c>
      <c r="T38" s="190" t="s">
        <v>1090</v>
      </c>
      <c r="U38" s="190" t="s">
        <v>1090</v>
      </c>
      <c r="V38" s="190" t="s">
        <v>1090</v>
      </c>
      <c r="W38" s="190" t="s">
        <v>1090</v>
      </c>
      <c r="X38" s="190" t="s">
        <v>1090</v>
      </c>
      <c r="Y38" s="190" t="s">
        <v>1090</v>
      </c>
      <c r="Z38" s="190"/>
      <c r="AA38" s="190" t="s">
        <v>1074</v>
      </c>
      <c r="AB38" s="190" t="s">
        <v>1074</v>
      </c>
      <c r="AC38" s="190" t="s">
        <v>1089</v>
      </c>
      <c r="AD38" s="190" t="s">
        <v>1089</v>
      </c>
      <c r="AE38" s="190"/>
      <c r="AF38" s="190" t="s">
        <v>1089</v>
      </c>
      <c r="AG38" s="190" t="s">
        <v>1088</v>
      </c>
      <c r="AH38" s="190" t="s">
        <v>1090</v>
      </c>
      <c r="AI38" s="190"/>
      <c r="AJ38" s="190" t="s">
        <v>1090</v>
      </c>
      <c r="AK38" s="190" t="s">
        <v>1089</v>
      </c>
      <c r="AL38" s="190" t="s">
        <v>1088</v>
      </c>
      <c r="AM38" s="190" t="s">
        <v>1089</v>
      </c>
      <c r="AN38" s="190"/>
      <c r="AO38" s="190" t="s">
        <v>1089</v>
      </c>
      <c r="AP38" s="190" t="s">
        <v>1089</v>
      </c>
      <c r="AQ38" s="190" t="s">
        <v>1090</v>
      </c>
      <c r="AR38" s="190"/>
      <c r="AS38" s="190" t="s">
        <v>1088</v>
      </c>
      <c r="AT38" s="190" t="s">
        <v>1088</v>
      </c>
      <c r="AU38" s="190" t="s">
        <v>1088</v>
      </c>
      <c r="AV38" s="190" t="s">
        <v>1088</v>
      </c>
      <c r="AW38" s="190" t="s">
        <v>1088</v>
      </c>
      <c r="AX38" s="190" t="s">
        <v>1088</v>
      </c>
      <c r="AY38" s="190" t="s">
        <v>1088</v>
      </c>
      <c r="AZ38" s="190" t="s">
        <v>1088</v>
      </c>
      <c r="BA38" s="190" t="s">
        <v>1088</v>
      </c>
      <c r="BB38" s="190" t="s">
        <v>1088</v>
      </c>
      <c r="BC38" s="190" t="s">
        <v>1088</v>
      </c>
      <c r="BD38" s="190" t="s">
        <v>1088</v>
      </c>
      <c r="BE38" s="190" t="s">
        <v>1088</v>
      </c>
      <c r="BF38" s="190" t="s">
        <v>1088</v>
      </c>
      <c r="BG38" s="190" t="s">
        <v>1088</v>
      </c>
      <c r="BH38" s="190" t="s">
        <v>1088</v>
      </c>
      <c r="BI38" s="190" t="s">
        <v>1088</v>
      </c>
      <c r="BJ38" s="190" t="s">
        <v>1088</v>
      </c>
      <c r="BK38" s="190" t="s">
        <v>1088</v>
      </c>
      <c r="BL38" s="190" t="s">
        <v>1088</v>
      </c>
      <c r="BM38" s="190" t="s">
        <v>1088</v>
      </c>
      <c r="BN38" s="190" t="s">
        <v>1088</v>
      </c>
      <c r="BO38" s="190" t="s">
        <v>1088</v>
      </c>
      <c r="BP38" s="190" t="s">
        <v>1088</v>
      </c>
      <c r="BQ38" s="190" t="s">
        <v>1088</v>
      </c>
      <c r="BR38" s="190" t="s">
        <v>1088</v>
      </c>
      <c r="BS38" s="190" t="s">
        <v>1088</v>
      </c>
      <c r="BT38" s="190" t="s">
        <v>1088</v>
      </c>
      <c r="BU38" s="190" t="s">
        <v>1088</v>
      </c>
      <c r="BV38" s="190" t="s">
        <v>1088</v>
      </c>
      <c r="BW38" s="190" t="s">
        <v>1088</v>
      </c>
      <c r="BX38" s="190" t="s">
        <v>1088</v>
      </c>
      <c r="BY38" s="190" t="s">
        <v>1088</v>
      </c>
      <c r="BZ38" s="190" t="s">
        <v>1088</v>
      </c>
      <c r="CA38" s="190" t="s">
        <v>1088</v>
      </c>
      <c r="CB38" s="190" t="s">
        <v>1088</v>
      </c>
      <c r="CC38" s="190" t="s">
        <v>1088</v>
      </c>
      <c r="CD38" s="190" t="s">
        <v>1088</v>
      </c>
      <c r="CE38" s="190" t="s">
        <v>1088</v>
      </c>
      <c r="CF38" s="190" t="s">
        <v>1088</v>
      </c>
      <c r="CG38" s="190" t="s">
        <v>1088</v>
      </c>
      <c r="CH38" s="190" t="s">
        <v>1088</v>
      </c>
      <c r="CI38" s="190" t="s">
        <v>1088</v>
      </c>
      <c r="CJ38" s="190" t="s">
        <v>1088</v>
      </c>
      <c r="CK38" s="190" t="s">
        <v>1088</v>
      </c>
      <c r="CL38" s="190" t="s">
        <v>1088</v>
      </c>
      <c r="CM38" s="190" t="s">
        <v>1088</v>
      </c>
      <c r="CN38" s="190" t="s">
        <v>1088</v>
      </c>
      <c r="CO38" s="190" t="s">
        <v>1088</v>
      </c>
      <c r="CP38" s="190" t="s">
        <v>1088</v>
      </c>
      <c r="CQ38" s="190" t="s">
        <v>1088</v>
      </c>
      <c r="CR38" s="190"/>
      <c r="CS38" s="190" t="s">
        <v>1091</v>
      </c>
      <c r="CT38" s="190" t="s">
        <v>1080</v>
      </c>
      <c r="CU38" s="190" t="s">
        <v>1078</v>
      </c>
      <c r="CV38" s="190" t="s">
        <v>1079</v>
      </c>
      <c r="CW38" s="190"/>
      <c r="CX38" s="190" t="s">
        <v>1090</v>
      </c>
      <c r="CY38" s="190" t="s">
        <v>1089</v>
      </c>
      <c r="CZ38" s="190" t="s">
        <v>1089</v>
      </c>
      <c r="DA38" s="190" t="s">
        <v>1092</v>
      </c>
      <c r="DB38" s="190" t="s">
        <v>1088</v>
      </c>
      <c r="DC38" s="190" t="s">
        <v>1088</v>
      </c>
      <c r="DD38" s="190" t="s">
        <v>1088</v>
      </c>
      <c r="DE38" s="190"/>
      <c r="DF38" s="174">
        <v>37</v>
      </c>
      <c r="DH38" s="268" t="s">
        <v>4186</v>
      </c>
      <c r="DI38" s="268" t="s">
        <v>4204</v>
      </c>
      <c r="DJ38" s="268"/>
      <c r="DK38" s="268"/>
      <c r="DL38" s="268">
        <v>2</v>
      </c>
      <c r="DM38" s="268"/>
      <c r="DN38" s="268"/>
      <c r="DO38" s="268">
        <v>2</v>
      </c>
      <c r="DP38" s="268"/>
      <c r="DQ38" s="268"/>
      <c r="DR38" s="268"/>
      <c r="DS38" s="268"/>
      <c r="DT38" s="268"/>
      <c r="DU38" s="268"/>
      <c r="DV38" s="268"/>
      <c r="DW38" s="268"/>
      <c r="DX38" s="268"/>
      <c r="DY38" s="268">
        <v>1</v>
      </c>
      <c r="DZ38" s="268">
        <v>6</v>
      </c>
      <c r="EA38" s="268">
        <v>1</v>
      </c>
      <c r="EB38" s="268">
        <v>60</v>
      </c>
      <c r="EC38" s="174">
        <f t="shared" si="6"/>
        <v>4</v>
      </c>
      <c r="ED38" s="268" t="s">
        <v>4204</v>
      </c>
      <c r="EE38" s="174">
        <v>6543</v>
      </c>
      <c r="EF38" s="174">
        <v>6543</v>
      </c>
      <c r="EG38" s="174">
        <v>7654</v>
      </c>
      <c r="EH38" s="174">
        <v>6543</v>
      </c>
      <c r="EI38" s="174">
        <v>6543</v>
      </c>
      <c r="EJ38" s="174">
        <v>6543</v>
      </c>
      <c r="EK38" s="174">
        <v>6543</v>
      </c>
      <c r="EL38" s="174">
        <v>6421</v>
      </c>
      <c r="EN38" s="182" t="s">
        <v>728</v>
      </c>
      <c r="FD38" s="174">
        <v>1</v>
      </c>
      <c r="FG38" s="174">
        <v>1</v>
      </c>
      <c r="FH38" s="174">
        <v>1</v>
      </c>
      <c r="FI38" s="174">
        <v>1</v>
      </c>
      <c r="FJ38" s="174">
        <v>1</v>
      </c>
      <c r="FK38" s="174">
        <v>1</v>
      </c>
      <c r="FM38" s="174">
        <v>1</v>
      </c>
      <c r="FO38" s="174">
        <v>1</v>
      </c>
      <c r="FQ38" s="174">
        <v>1</v>
      </c>
      <c r="FR38" s="174">
        <v>2</v>
      </c>
      <c r="FT38" s="174">
        <v>1</v>
      </c>
      <c r="FU38" s="174">
        <v>1</v>
      </c>
      <c r="FV38" s="174">
        <v>1</v>
      </c>
      <c r="FW38" s="174">
        <v>1</v>
      </c>
      <c r="FY38" s="174">
        <v>1</v>
      </c>
      <c r="FZ38" s="174">
        <v>1</v>
      </c>
      <c r="HA38" s="174">
        <v>37</v>
      </c>
      <c r="HB38" s="197">
        <v>35</v>
      </c>
      <c r="HC38" s="183">
        <v>38</v>
      </c>
      <c r="HD38" s="183">
        <v>63</v>
      </c>
      <c r="HE38" s="194">
        <v>25</v>
      </c>
      <c r="HF38" s="183">
        <v>100</v>
      </c>
      <c r="HG38" s="193">
        <f t="shared" si="3"/>
        <v>95</v>
      </c>
      <c r="HH38" s="192" t="e">
        <f t="shared" si="109"/>
        <v>#REF!</v>
      </c>
      <c r="HI38" s="198">
        <v>25</v>
      </c>
      <c r="HJ38" s="185">
        <v>105</v>
      </c>
      <c r="HK38" s="174">
        <v>36</v>
      </c>
      <c r="HL38" s="174">
        <f t="shared" si="83"/>
        <v>214</v>
      </c>
      <c r="HM38" s="174">
        <f t="shared" si="84"/>
        <v>204</v>
      </c>
      <c r="HN38" s="174">
        <f t="shared" si="85"/>
        <v>178</v>
      </c>
      <c r="HO38" s="174">
        <f t="shared" si="86"/>
        <v>162</v>
      </c>
      <c r="HP38" s="174">
        <f t="shared" si="87"/>
        <v>156</v>
      </c>
      <c r="HQ38" s="174">
        <f t="shared" si="88"/>
        <v>146</v>
      </c>
      <c r="HR38" s="174">
        <f t="shared" si="89"/>
        <v>146</v>
      </c>
      <c r="HS38" s="174">
        <f t="shared" si="90"/>
        <v>136</v>
      </c>
      <c r="HT38" s="174">
        <f t="shared" si="91"/>
        <v>126</v>
      </c>
      <c r="HU38" s="174">
        <f t="shared" si="92"/>
        <v>168</v>
      </c>
      <c r="HV38" s="174">
        <f t="shared" si="93"/>
        <v>146</v>
      </c>
      <c r="HW38" s="174">
        <f t="shared" si="94"/>
        <v>136</v>
      </c>
      <c r="HX38" s="174">
        <f t="shared" si="95"/>
        <v>142</v>
      </c>
      <c r="HY38" s="174">
        <f t="shared" si="96"/>
        <v>126</v>
      </c>
      <c r="HZ38" s="174">
        <f t="shared" si="97"/>
        <v>116</v>
      </c>
      <c r="IA38" s="174">
        <f t="shared" si="98"/>
        <v>106</v>
      </c>
      <c r="IB38" s="174">
        <f t="shared" si="99"/>
        <v>132</v>
      </c>
      <c r="IC38" s="174">
        <f t="shared" si="100"/>
        <v>112</v>
      </c>
      <c r="ID38" s="174">
        <f t="shared" si="101"/>
        <v>96</v>
      </c>
      <c r="IE38" s="174">
        <f t="shared" si="102"/>
        <v>102</v>
      </c>
      <c r="IF38" s="174">
        <f t="shared" si="103"/>
        <v>96</v>
      </c>
      <c r="IG38" s="174">
        <f t="shared" si="104"/>
        <v>76</v>
      </c>
      <c r="IH38" s="174">
        <f t="shared" si="105"/>
        <v>66</v>
      </c>
      <c r="II38" s="174">
        <f t="shared" si="106"/>
        <v>46</v>
      </c>
      <c r="IJ38" s="174">
        <v>38</v>
      </c>
      <c r="IN38" s="174">
        <f>Skills!K184</f>
        <v>-21.009999999999998</v>
      </c>
      <c r="IO38" s="174" t="str">
        <f>Skills!B184</f>
        <v>Sweeps 3</v>
      </c>
      <c r="IR38" s="174">
        <v>1300000</v>
      </c>
      <c r="IS38" s="174">
        <v>36</v>
      </c>
    </row>
    <row r="39" spans="1:253" ht="13.35" customHeight="1" x14ac:dyDescent="0.2">
      <c r="A39" s="183">
        <f t="shared" si="107"/>
        <v>38</v>
      </c>
      <c r="B39" s="183">
        <v>0</v>
      </c>
      <c r="C39" s="183">
        <f t="shared" si="108"/>
        <v>38</v>
      </c>
      <c r="D39" s="174">
        <v>105</v>
      </c>
      <c r="E39" s="189" t="s">
        <v>763</v>
      </c>
      <c r="F39" s="190" t="s">
        <v>1093</v>
      </c>
      <c r="G39" s="190" t="s">
        <v>1091</v>
      </c>
      <c r="H39" s="190" t="s">
        <v>1085</v>
      </c>
      <c r="I39" s="190" t="s">
        <v>1094</v>
      </c>
      <c r="J39" s="190" t="s">
        <v>1080</v>
      </c>
      <c r="K39" s="190" t="s">
        <v>1095</v>
      </c>
      <c r="L39" s="190" t="s">
        <v>1095</v>
      </c>
      <c r="M39" s="190" t="s">
        <v>1095</v>
      </c>
      <c r="N39" s="190" t="s">
        <v>1095</v>
      </c>
      <c r="O39" s="190" t="s">
        <v>1095</v>
      </c>
      <c r="P39" s="190" t="s">
        <v>1095</v>
      </c>
      <c r="Q39" s="190" t="s">
        <v>1096</v>
      </c>
      <c r="R39" s="190" t="s">
        <v>1096</v>
      </c>
      <c r="S39" s="190" t="s">
        <v>1096</v>
      </c>
      <c r="T39" s="190" t="s">
        <v>1097</v>
      </c>
      <c r="U39" s="190" t="s">
        <v>1097</v>
      </c>
      <c r="V39" s="190" t="s">
        <v>1097</v>
      </c>
      <c r="W39" s="190" t="s">
        <v>1097</v>
      </c>
      <c r="X39" s="190" t="s">
        <v>1097</v>
      </c>
      <c r="Y39" s="190" t="s">
        <v>1097</v>
      </c>
      <c r="Z39" s="190"/>
      <c r="AA39" s="190" t="s">
        <v>1073</v>
      </c>
      <c r="AB39" s="190" t="s">
        <v>1073</v>
      </c>
      <c r="AC39" s="190" t="s">
        <v>1096</v>
      </c>
      <c r="AD39" s="190" t="s">
        <v>1096</v>
      </c>
      <c r="AE39" s="190"/>
      <c r="AF39" s="190" t="s">
        <v>1096</v>
      </c>
      <c r="AG39" s="190" t="s">
        <v>1095</v>
      </c>
      <c r="AH39" s="190" t="s">
        <v>1097</v>
      </c>
      <c r="AI39" s="190"/>
      <c r="AJ39" s="190" t="s">
        <v>1097</v>
      </c>
      <c r="AK39" s="190" t="s">
        <v>1096</v>
      </c>
      <c r="AL39" s="190" t="s">
        <v>1095</v>
      </c>
      <c r="AM39" s="190" t="s">
        <v>1096</v>
      </c>
      <c r="AN39" s="190"/>
      <c r="AO39" s="190" t="s">
        <v>1096</v>
      </c>
      <c r="AP39" s="190" t="s">
        <v>1096</v>
      </c>
      <c r="AQ39" s="190" t="s">
        <v>1097</v>
      </c>
      <c r="AR39" s="190"/>
      <c r="AS39" s="190" t="s">
        <v>1095</v>
      </c>
      <c r="AT39" s="190" t="s">
        <v>1095</v>
      </c>
      <c r="AU39" s="190" t="s">
        <v>1095</v>
      </c>
      <c r="AV39" s="190" t="s">
        <v>1095</v>
      </c>
      <c r="AW39" s="190" t="s">
        <v>1095</v>
      </c>
      <c r="AX39" s="190" t="s">
        <v>1095</v>
      </c>
      <c r="AY39" s="190" t="s">
        <v>1095</v>
      </c>
      <c r="AZ39" s="190" t="s">
        <v>1095</v>
      </c>
      <c r="BA39" s="190" t="s">
        <v>1095</v>
      </c>
      <c r="BB39" s="190" t="s">
        <v>1095</v>
      </c>
      <c r="BC39" s="190" t="s">
        <v>1095</v>
      </c>
      <c r="BD39" s="190" t="s">
        <v>1095</v>
      </c>
      <c r="BE39" s="190" t="s">
        <v>1095</v>
      </c>
      <c r="BF39" s="190" t="s">
        <v>1095</v>
      </c>
      <c r="BG39" s="190" t="s">
        <v>1095</v>
      </c>
      <c r="BH39" s="190" t="s">
        <v>1095</v>
      </c>
      <c r="BI39" s="190" t="s">
        <v>1095</v>
      </c>
      <c r="BJ39" s="190" t="s">
        <v>1095</v>
      </c>
      <c r="BK39" s="190" t="s">
        <v>1095</v>
      </c>
      <c r="BL39" s="190" t="s">
        <v>1095</v>
      </c>
      <c r="BM39" s="190" t="s">
        <v>1095</v>
      </c>
      <c r="BN39" s="190" t="s">
        <v>1095</v>
      </c>
      <c r="BO39" s="190" t="s">
        <v>1095</v>
      </c>
      <c r="BP39" s="190" t="s">
        <v>1095</v>
      </c>
      <c r="BQ39" s="190" t="s">
        <v>1095</v>
      </c>
      <c r="BR39" s="190" t="s">
        <v>1095</v>
      </c>
      <c r="BS39" s="190" t="s">
        <v>1095</v>
      </c>
      <c r="BT39" s="190" t="s">
        <v>1095</v>
      </c>
      <c r="BU39" s="190" t="s">
        <v>1095</v>
      </c>
      <c r="BV39" s="190" t="s">
        <v>1095</v>
      </c>
      <c r="BW39" s="190" t="s">
        <v>1095</v>
      </c>
      <c r="BX39" s="190" t="s">
        <v>1095</v>
      </c>
      <c r="BY39" s="190" t="s">
        <v>1095</v>
      </c>
      <c r="BZ39" s="190" t="s">
        <v>1095</v>
      </c>
      <c r="CA39" s="190" t="s">
        <v>1095</v>
      </c>
      <c r="CB39" s="190" t="s">
        <v>1095</v>
      </c>
      <c r="CC39" s="190" t="s">
        <v>1095</v>
      </c>
      <c r="CD39" s="190" t="s">
        <v>1095</v>
      </c>
      <c r="CE39" s="190" t="s">
        <v>1095</v>
      </c>
      <c r="CF39" s="190" t="s">
        <v>1095</v>
      </c>
      <c r="CG39" s="190" t="s">
        <v>1095</v>
      </c>
      <c r="CH39" s="190" t="s">
        <v>1095</v>
      </c>
      <c r="CI39" s="190" t="s">
        <v>1095</v>
      </c>
      <c r="CJ39" s="190" t="s">
        <v>1095</v>
      </c>
      <c r="CK39" s="190" t="s">
        <v>1095</v>
      </c>
      <c r="CL39" s="190" t="s">
        <v>1095</v>
      </c>
      <c r="CM39" s="190" t="s">
        <v>1095</v>
      </c>
      <c r="CN39" s="190" t="s">
        <v>1095</v>
      </c>
      <c r="CO39" s="190" t="s">
        <v>1095</v>
      </c>
      <c r="CP39" s="190" t="s">
        <v>1095</v>
      </c>
      <c r="CQ39" s="190" t="s">
        <v>1095</v>
      </c>
      <c r="CR39" s="190"/>
      <c r="CS39" s="190" t="s">
        <v>1082</v>
      </c>
      <c r="CT39" s="190" t="s">
        <v>1091</v>
      </c>
      <c r="CU39" s="190" t="s">
        <v>1098</v>
      </c>
      <c r="CV39" s="190" t="s">
        <v>1085</v>
      </c>
      <c r="CW39" s="190"/>
      <c r="CX39" s="190" t="s">
        <v>1097</v>
      </c>
      <c r="CY39" s="190" t="s">
        <v>1096</v>
      </c>
      <c r="CZ39" s="190" t="s">
        <v>1096</v>
      </c>
      <c r="DA39" s="190" t="s">
        <v>1099</v>
      </c>
      <c r="DB39" s="190" t="s">
        <v>1095</v>
      </c>
      <c r="DC39" s="190" t="s">
        <v>1095</v>
      </c>
      <c r="DD39" s="190" t="s">
        <v>1095</v>
      </c>
      <c r="DE39" s="190"/>
      <c r="DF39" s="174">
        <v>38</v>
      </c>
      <c r="DH39" s="268" t="s">
        <v>1013</v>
      </c>
      <c r="DI39" s="268" t="s">
        <v>913</v>
      </c>
      <c r="DJ39" s="268">
        <v>6</v>
      </c>
      <c r="DK39" s="268">
        <v>-2</v>
      </c>
      <c r="DL39" s="268">
        <v>-4</v>
      </c>
      <c r="DM39" s="268">
        <v>-2</v>
      </c>
      <c r="DN39" s="268">
        <v>-4</v>
      </c>
      <c r="DO39" s="268">
        <v>4</v>
      </c>
      <c r="DP39" s="268"/>
      <c r="DQ39" s="268">
        <v>-4</v>
      </c>
      <c r="DR39" s="268">
        <v>-2</v>
      </c>
      <c r="DS39" s="268">
        <v>-4</v>
      </c>
      <c r="DT39" s="268"/>
      <c r="DU39" s="268"/>
      <c r="DV39" s="268"/>
      <c r="DW39" s="268">
        <v>20</v>
      </c>
      <c r="DX39" s="268">
        <v>5</v>
      </c>
      <c r="DY39" s="268">
        <v>1</v>
      </c>
      <c r="DZ39" s="268">
        <v>5</v>
      </c>
      <c r="EA39" s="268">
        <v>0.5</v>
      </c>
      <c r="EB39" s="268">
        <v>55</v>
      </c>
      <c r="EC39" s="174">
        <f t="shared" si="6"/>
        <v>-12</v>
      </c>
      <c r="ED39" s="268" t="s">
        <v>4180</v>
      </c>
      <c r="EE39" s="174">
        <v>6543</v>
      </c>
      <c r="EF39" s="174">
        <v>6543</v>
      </c>
      <c r="EG39" s="174">
        <v>6543</v>
      </c>
      <c r="EH39" s="174">
        <v>6543</v>
      </c>
      <c r="EI39" s="174">
        <v>6543</v>
      </c>
      <c r="EJ39" s="174">
        <v>6543</v>
      </c>
      <c r="EK39" s="174">
        <v>6543</v>
      </c>
      <c r="EL39" s="174">
        <v>7321</v>
      </c>
      <c r="EN39" s="174" t="s">
        <v>729</v>
      </c>
      <c r="FD39" s="174">
        <v>1</v>
      </c>
      <c r="FG39" s="174">
        <v>1</v>
      </c>
      <c r="FH39" s="174">
        <v>1</v>
      </c>
      <c r="FI39" s="174">
        <v>1</v>
      </c>
      <c r="FJ39" s="174">
        <v>1</v>
      </c>
      <c r="FK39" s="174">
        <v>1</v>
      </c>
      <c r="FM39" s="174">
        <v>1</v>
      </c>
      <c r="FO39" s="174">
        <v>1</v>
      </c>
      <c r="FQ39" s="174">
        <v>1</v>
      </c>
      <c r="FR39" s="174">
        <v>2</v>
      </c>
      <c r="FT39" s="174">
        <v>1</v>
      </c>
      <c r="FU39" s="174">
        <v>1</v>
      </c>
      <c r="FV39" s="174">
        <v>1</v>
      </c>
      <c r="FW39" s="174">
        <v>1</v>
      </c>
      <c r="FY39" s="174">
        <v>1</v>
      </c>
      <c r="FZ39" s="174">
        <v>1</v>
      </c>
      <c r="HA39" s="174">
        <v>38</v>
      </c>
      <c r="HB39" s="197">
        <v>36</v>
      </c>
      <c r="HC39" s="183">
        <v>38</v>
      </c>
      <c r="HD39" s="183">
        <v>63</v>
      </c>
      <c r="HE39" s="194">
        <v>25</v>
      </c>
      <c r="HF39" s="183">
        <v>101</v>
      </c>
      <c r="HG39" s="193">
        <f t="shared" si="3"/>
        <v>96</v>
      </c>
      <c r="HH39" s="192" t="e">
        <f t="shared" si="109"/>
        <v>#REF!</v>
      </c>
      <c r="HI39" s="198">
        <v>25</v>
      </c>
      <c r="HJ39" s="185">
        <v>106</v>
      </c>
      <c r="HK39" s="174">
        <v>37</v>
      </c>
      <c r="HL39" s="174">
        <f t="shared" si="83"/>
        <v>218</v>
      </c>
      <c r="HM39" s="174">
        <f t="shared" si="84"/>
        <v>208</v>
      </c>
      <c r="HN39" s="174">
        <f t="shared" si="85"/>
        <v>181</v>
      </c>
      <c r="HO39" s="174">
        <f t="shared" si="86"/>
        <v>164</v>
      </c>
      <c r="HP39" s="174">
        <f t="shared" si="87"/>
        <v>157</v>
      </c>
      <c r="HQ39" s="174">
        <f t="shared" si="88"/>
        <v>147</v>
      </c>
      <c r="HR39" s="174">
        <f t="shared" si="89"/>
        <v>147</v>
      </c>
      <c r="HS39" s="174">
        <f t="shared" si="90"/>
        <v>137</v>
      </c>
      <c r="HT39" s="174">
        <f t="shared" si="91"/>
        <v>127</v>
      </c>
      <c r="HU39" s="174">
        <f t="shared" si="92"/>
        <v>171</v>
      </c>
      <c r="HV39" s="174">
        <f t="shared" si="93"/>
        <v>147</v>
      </c>
      <c r="HW39" s="174">
        <f t="shared" si="94"/>
        <v>137</v>
      </c>
      <c r="HX39" s="174">
        <f t="shared" si="95"/>
        <v>144</v>
      </c>
      <c r="HY39" s="174">
        <f t="shared" si="96"/>
        <v>127</v>
      </c>
      <c r="HZ39" s="174">
        <f t="shared" si="97"/>
        <v>117</v>
      </c>
      <c r="IA39" s="174">
        <f t="shared" si="98"/>
        <v>107</v>
      </c>
      <c r="IB39" s="174">
        <f t="shared" si="99"/>
        <v>134</v>
      </c>
      <c r="IC39" s="174">
        <f t="shared" si="100"/>
        <v>114</v>
      </c>
      <c r="ID39" s="174">
        <f t="shared" si="101"/>
        <v>97</v>
      </c>
      <c r="IE39" s="174">
        <f t="shared" si="102"/>
        <v>104</v>
      </c>
      <c r="IF39" s="174">
        <f t="shared" si="103"/>
        <v>97</v>
      </c>
      <c r="IG39" s="174">
        <f t="shared" si="104"/>
        <v>77</v>
      </c>
      <c r="IH39" s="174">
        <f t="shared" si="105"/>
        <v>67</v>
      </c>
      <c r="II39" s="174">
        <f t="shared" si="106"/>
        <v>47</v>
      </c>
      <c r="IJ39" s="174">
        <v>39</v>
      </c>
      <c r="IR39" s="174">
        <v>1350000</v>
      </c>
      <c r="IS39" s="174">
        <v>37</v>
      </c>
    </row>
    <row r="40" spans="1:253" ht="13.35" customHeight="1" x14ac:dyDescent="0.2">
      <c r="A40" s="183">
        <f t="shared" si="107"/>
        <v>39</v>
      </c>
      <c r="B40" s="183">
        <v>0</v>
      </c>
      <c r="C40" s="183">
        <f t="shared" si="108"/>
        <v>39</v>
      </c>
      <c r="D40" s="174">
        <v>25</v>
      </c>
      <c r="E40" s="189" t="s">
        <v>750</v>
      </c>
      <c r="F40" s="190" t="s">
        <v>1096</v>
      </c>
      <c r="G40" s="190" t="s">
        <v>1100</v>
      </c>
      <c r="H40" s="190" t="s">
        <v>1101</v>
      </c>
      <c r="I40" s="190" t="s">
        <v>1095</v>
      </c>
      <c r="J40" s="190" t="s">
        <v>1102</v>
      </c>
      <c r="K40" s="190" t="s">
        <v>1103</v>
      </c>
      <c r="L40" s="190" t="s">
        <v>1103</v>
      </c>
      <c r="M40" s="190" t="s">
        <v>1103</v>
      </c>
      <c r="N40" s="190" t="s">
        <v>1103</v>
      </c>
      <c r="O40" s="190" t="s">
        <v>1103</v>
      </c>
      <c r="P40" s="190" t="s">
        <v>1103</v>
      </c>
      <c r="Q40" s="190" t="s">
        <v>1103</v>
      </c>
      <c r="R40" s="190" t="s">
        <v>1103</v>
      </c>
      <c r="S40" s="190" t="s">
        <v>1103</v>
      </c>
      <c r="T40" s="190" t="s">
        <v>1104</v>
      </c>
      <c r="U40" s="190" t="s">
        <v>1104</v>
      </c>
      <c r="V40" s="190" t="s">
        <v>1104</v>
      </c>
      <c r="W40" s="190" t="s">
        <v>1104</v>
      </c>
      <c r="X40" s="190" t="s">
        <v>1104</v>
      </c>
      <c r="Y40" s="190" t="s">
        <v>1104</v>
      </c>
      <c r="Z40" s="190"/>
      <c r="AA40" s="190" t="s">
        <v>928</v>
      </c>
      <c r="AB40" s="190" t="s">
        <v>928</v>
      </c>
      <c r="AC40" s="190" t="s">
        <v>1103</v>
      </c>
      <c r="AD40" s="190" t="s">
        <v>1103</v>
      </c>
      <c r="AE40" s="190"/>
      <c r="AF40" s="190" t="s">
        <v>1103</v>
      </c>
      <c r="AG40" s="190" t="s">
        <v>1103</v>
      </c>
      <c r="AH40" s="190" t="s">
        <v>1104</v>
      </c>
      <c r="AI40" s="190"/>
      <c r="AJ40" s="190" t="s">
        <v>1104</v>
      </c>
      <c r="AK40" s="190" t="s">
        <v>1103</v>
      </c>
      <c r="AL40" s="190" t="s">
        <v>1103</v>
      </c>
      <c r="AM40" s="190" t="s">
        <v>1103</v>
      </c>
      <c r="AN40" s="190"/>
      <c r="AO40" s="190" t="s">
        <v>1103</v>
      </c>
      <c r="AP40" s="190" t="s">
        <v>1103</v>
      </c>
      <c r="AQ40" s="190" t="s">
        <v>1104</v>
      </c>
      <c r="AR40" s="190"/>
      <c r="AS40" s="190" t="s">
        <v>1103</v>
      </c>
      <c r="AT40" s="190" t="s">
        <v>1103</v>
      </c>
      <c r="AU40" s="190" t="s">
        <v>1103</v>
      </c>
      <c r="AV40" s="190" t="s">
        <v>1103</v>
      </c>
      <c r="AW40" s="190" t="s">
        <v>1103</v>
      </c>
      <c r="AX40" s="190" t="s">
        <v>1103</v>
      </c>
      <c r="AY40" s="190" t="s">
        <v>1103</v>
      </c>
      <c r="AZ40" s="190" t="s">
        <v>1103</v>
      </c>
      <c r="BA40" s="190" t="s">
        <v>1103</v>
      </c>
      <c r="BB40" s="190" t="s">
        <v>1103</v>
      </c>
      <c r="BC40" s="190" t="s">
        <v>1103</v>
      </c>
      <c r="BD40" s="190" t="s">
        <v>1103</v>
      </c>
      <c r="BE40" s="190" t="s">
        <v>1103</v>
      </c>
      <c r="BF40" s="190" t="s">
        <v>1103</v>
      </c>
      <c r="BG40" s="190" t="s">
        <v>1103</v>
      </c>
      <c r="BH40" s="190" t="s">
        <v>1103</v>
      </c>
      <c r="BI40" s="190" t="s">
        <v>1103</v>
      </c>
      <c r="BJ40" s="190" t="s">
        <v>1103</v>
      </c>
      <c r="BK40" s="190" t="s">
        <v>1103</v>
      </c>
      <c r="BL40" s="190" t="s">
        <v>1103</v>
      </c>
      <c r="BM40" s="190" t="s">
        <v>1103</v>
      </c>
      <c r="BN40" s="190" t="s">
        <v>1103</v>
      </c>
      <c r="BO40" s="190" t="s">
        <v>1103</v>
      </c>
      <c r="BP40" s="190" t="s">
        <v>1103</v>
      </c>
      <c r="BQ40" s="190" t="s">
        <v>1103</v>
      </c>
      <c r="BR40" s="190" t="s">
        <v>1103</v>
      </c>
      <c r="BS40" s="190" t="s">
        <v>1103</v>
      </c>
      <c r="BT40" s="190" t="s">
        <v>1103</v>
      </c>
      <c r="BU40" s="190" t="s">
        <v>1103</v>
      </c>
      <c r="BV40" s="190" t="s">
        <v>1103</v>
      </c>
      <c r="BW40" s="190" t="s">
        <v>1103</v>
      </c>
      <c r="BX40" s="190" t="s">
        <v>1103</v>
      </c>
      <c r="BY40" s="190" t="s">
        <v>1103</v>
      </c>
      <c r="BZ40" s="190" t="s">
        <v>1103</v>
      </c>
      <c r="CA40" s="190" t="s">
        <v>1103</v>
      </c>
      <c r="CB40" s="190" t="s">
        <v>1103</v>
      </c>
      <c r="CC40" s="190" t="s">
        <v>1103</v>
      </c>
      <c r="CD40" s="190" t="s">
        <v>1103</v>
      </c>
      <c r="CE40" s="190" t="s">
        <v>1103</v>
      </c>
      <c r="CF40" s="190" t="s">
        <v>1103</v>
      </c>
      <c r="CG40" s="190" t="s">
        <v>1103</v>
      </c>
      <c r="CH40" s="190" t="s">
        <v>1103</v>
      </c>
      <c r="CI40" s="190" t="s">
        <v>1103</v>
      </c>
      <c r="CJ40" s="190" t="s">
        <v>1103</v>
      </c>
      <c r="CK40" s="190" t="s">
        <v>1103</v>
      </c>
      <c r="CL40" s="190" t="s">
        <v>1103</v>
      </c>
      <c r="CM40" s="190" t="s">
        <v>1103</v>
      </c>
      <c r="CN40" s="190" t="s">
        <v>1103</v>
      </c>
      <c r="CO40" s="190" t="s">
        <v>1103</v>
      </c>
      <c r="CP40" s="190" t="s">
        <v>1103</v>
      </c>
      <c r="CQ40" s="190" t="s">
        <v>1103</v>
      </c>
      <c r="CR40" s="190"/>
      <c r="CS40" s="190" t="s">
        <v>1105</v>
      </c>
      <c r="CT40" s="190" t="s">
        <v>1100</v>
      </c>
      <c r="CU40" s="190" t="s">
        <v>1089</v>
      </c>
      <c r="CV40" s="190" t="s">
        <v>1101</v>
      </c>
      <c r="CW40" s="190"/>
      <c r="CX40" s="190" t="s">
        <v>1104</v>
      </c>
      <c r="CY40" s="190" t="s">
        <v>1103</v>
      </c>
      <c r="CZ40" s="190" t="s">
        <v>1103</v>
      </c>
      <c r="DA40" s="190" t="s">
        <v>1070</v>
      </c>
      <c r="DB40" s="190" t="s">
        <v>1103</v>
      </c>
      <c r="DC40" s="190" t="s">
        <v>1103</v>
      </c>
      <c r="DD40" s="190" t="s">
        <v>1103</v>
      </c>
      <c r="DE40" s="190"/>
      <c r="DF40" s="174">
        <v>39</v>
      </c>
      <c r="DH40" s="268" t="s">
        <v>1013</v>
      </c>
      <c r="DI40" s="268" t="s">
        <v>1058</v>
      </c>
      <c r="DJ40" s="268">
        <v>4</v>
      </c>
      <c r="DK40" s="268">
        <v>2</v>
      </c>
      <c r="DL40" s="268"/>
      <c r="DM40" s="268"/>
      <c r="DN40" s="268">
        <v>-1</v>
      </c>
      <c r="DO40" s="268">
        <v>4</v>
      </c>
      <c r="DP40" s="268"/>
      <c r="DQ40" s="268">
        <v>-2</v>
      </c>
      <c r="DR40" s="268"/>
      <c r="DS40" s="268">
        <v>-1</v>
      </c>
      <c r="DT40" s="268"/>
      <c r="DU40" s="268"/>
      <c r="DV40" s="268"/>
      <c r="DW40" s="268">
        <v>10</v>
      </c>
      <c r="DX40" s="268"/>
      <c r="DY40" s="268">
        <v>1</v>
      </c>
      <c r="DZ40" s="268">
        <v>5</v>
      </c>
      <c r="EA40" s="268">
        <v>0.75</v>
      </c>
      <c r="EB40" s="268">
        <v>40</v>
      </c>
      <c r="EC40" s="174">
        <f t="shared" si="6"/>
        <v>6</v>
      </c>
      <c r="ED40" s="268" t="s">
        <v>4173</v>
      </c>
      <c r="EE40" s="174">
        <v>7654</v>
      </c>
      <c r="EF40" s="174">
        <v>6543</v>
      </c>
      <c r="EG40" s="174">
        <v>6543</v>
      </c>
      <c r="EH40" s="174">
        <v>6543</v>
      </c>
      <c r="EI40" s="174">
        <v>6543</v>
      </c>
      <c r="EJ40" s="174">
        <v>6543</v>
      </c>
      <c r="EK40" s="174">
        <v>6543</v>
      </c>
      <c r="EL40" s="174">
        <v>6311</v>
      </c>
      <c r="EN40" s="182" t="s">
        <v>732</v>
      </c>
      <c r="HA40" s="174">
        <v>39</v>
      </c>
      <c r="HB40" s="197">
        <v>37</v>
      </c>
      <c r="HC40" s="183">
        <v>39</v>
      </c>
      <c r="HD40" s="183">
        <v>64</v>
      </c>
      <c r="HE40" s="194">
        <v>25</v>
      </c>
      <c r="HF40" s="183">
        <v>102</v>
      </c>
      <c r="HG40" s="193">
        <f t="shared" si="3"/>
        <v>97</v>
      </c>
      <c r="HH40" s="192" t="e">
        <f t="shared" si="109"/>
        <v>#REF!</v>
      </c>
      <c r="HI40" s="198">
        <v>25</v>
      </c>
      <c r="HJ40" s="185">
        <v>107</v>
      </c>
      <c r="HK40" s="174">
        <v>38</v>
      </c>
      <c r="HL40" s="174">
        <f t="shared" si="83"/>
        <v>222</v>
      </c>
      <c r="HM40" s="174">
        <f t="shared" si="84"/>
        <v>212</v>
      </c>
      <c r="HN40" s="174">
        <f t="shared" si="85"/>
        <v>184</v>
      </c>
      <c r="HO40" s="174">
        <f t="shared" si="86"/>
        <v>166</v>
      </c>
      <c r="HP40" s="174">
        <f t="shared" si="87"/>
        <v>158</v>
      </c>
      <c r="HQ40" s="174">
        <f t="shared" si="88"/>
        <v>148</v>
      </c>
      <c r="HR40" s="174">
        <f t="shared" si="89"/>
        <v>148</v>
      </c>
      <c r="HS40" s="174">
        <f t="shared" si="90"/>
        <v>138</v>
      </c>
      <c r="HT40" s="174">
        <f t="shared" si="91"/>
        <v>128</v>
      </c>
      <c r="HU40" s="174">
        <f t="shared" si="92"/>
        <v>174</v>
      </c>
      <c r="HV40" s="174">
        <f t="shared" si="93"/>
        <v>148</v>
      </c>
      <c r="HW40" s="174">
        <f t="shared" si="94"/>
        <v>138</v>
      </c>
      <c r="HX40" s="174">
        <f t="shared" si="95"/>
        <v>146</v>
      </c>
      <c r="HY40" s="174">
        <f t="shared" si="96"/>
        <v>128</v>
      </c>
      <c r="HZ40" s="174">
        <f t="shared" si="97"/>
        <v>118</v>
      </c>
      <c r="IA40" s="174">
        <f t="shared" si="98"/>
        <v>108</v>
      </c>
      <c r="IB40" s="174">
        <f t="shared" si="99"/>
        <v>136</v>
      </c>
      <c r="IC40" s="174">
        <f t="shared" si="100"/>
        <v>116</v>
      </c>
      <c r="ID40" s="174">
        <f t="shared" si="101"/>
        <v>98</v>
      </c>
      <c r="IE40" s="174">
        <f t="shared" si="102"/>
        <v>106</v>
      </c>
      <c r="IF40" s="174">
        <f t="shared" si="103"/>
        <v>98</v>
      </c>
      <c r="IG40" s="174">
        <f t="shared" si="104"/>
        <v>78</v>
      </c>
      <c r="IH40" s="174">
        <f t="shared" si="105"/>
        <v>68</v>
      </c>
      <c r="II40" s="174">
        <f t="shared" si="106"/>
        <v>48</v>
      </c>
      <c r="IJ40" s="174">
        <v>40</v>
      </c>
      <c r="IN40" s="174">
        <f>Skills!K176</f>
        <v>-21.009999999999998</v>
      </c>
      <c r="IO40" s="174" t="str">
        <f>Skills!B176</f>
        <v>Strikes 4</v>
      </c>
      <c r="IR40" s="174">
        <v>1400000</v>
      </c>
      <c r="IS40" s="174">
        <v>38</v>
      </c>
    </row>
    <row r="41" spans="1:253" ht="13.35" customHeight="1" x14ac:dyDescent="0.2">
      <c r="A41" s="183">
        <f t="shared" si="107"/>
        <v>40</v>
      </c>
      <c r="B41" s="183">
        <v>0</v>
      </c>
      <c r="C41" s="183">
        <f t="shared" si="108"/>
        <v>40</v>
      </c>
      <c r="D41" s="174">
        <v>40</v>
      </c>
      <c r="E41" s="189" t="s">
        <v>752</v>
      </c>
      <c r="F41" s="190" t="s">
        <v>1087</v>
      </c>
      <c r="G41" s="190" t="s">
        <v>1106</v>
      </c>
      <c r="H41" s="190" t="s">
        <v>1096</v>
      </c>
      <c r="I41" s="190" t="s">
        <v>1090</v>
      </c>
      <c r="J41" s="190" t="s">
        <v>1101</v>
      </c>
      <c r="K41" s="190" t="s">
        <v>1103</v>
      </c>
      <c r="L41" s="190" t="s">
        <v>1103</v>
      </c>
      <c r="M41" s="190" t="s">
        <v>1103</v>
      </c>
      <c r="N41" s="190" t="s">
        <v>1103</v>
      </c>
      <c r="O41" s="190" t="s">
        <v>1103</v>
      </c>
      <c r="P41" s="190" t="s">
        <v>1103</v>
      </c>
      <c r="Q41" s="190" t="s">
        <v>1103</v>
      </c>
      <c r="R41" s="190" t="s">
        <v>1103</v>
      </c>
      <c r="S41" s="190" t="s">
        <v>1103</v>
      </c>
      <c r="T41" s="190" t="s">
        <v>1088</v>
      </c>
      <c r="U41" s="190" t="s">
        <v>1088</v>
      </c>
      <c r="V41" s="190" t="s">
        <v>1088</v>
      </c>
      <c r="W41" s="190" t="s">
        <v>1088</v>
      </c>
      <c r="X41" s="190" t="s">
        <v>1088</v>
      </c>
      <c r="Y41" s="190" t="s">
        <v>1088</v>
      </c>
      <c r="Z41" s="190"/>
      <c r="AA41" s="190" t="s">
        <v>928</v>
      </c>
      <c r="AB41" s="190" t="s">
        <v>928</v>
      </c>
      <c r="AC41" s="190" t="s">
        <v>1103</v>
      </c>
      <c r="AD41" s="190" t="s">
        <v>1103</v>
      </c>
      <c r="AE41" s="190"/>
      <c r="AF41" s="190" t="s">
        <v>1103</v>
      </c>
      <c r="AG41" s="190" t="s">
        <v>1103</v>
      </c>
      <c r="AH41" s="190" t="s">
        <v>1088</v>
      </c>
      <c r="AI41" s="190"/>
      <c r="AJ41" s="190" t="s">
        <v>1088</v>
      </c>
      <c r="AK41" s="190" t="s">
        <v>1103</v>
      </c>
      <c r="AL41" s="190" t="s">
        <v>1103</v>
      </c>
      <c r="AM41" s="190" t="s">
        <v>1103</v>
      </c>
      <c r="AN41" s="190"/>
      <c r="AO41" s="190" t="s">
        <v>1103</v>
      </c>
      <c r="AP41" s="190" t="s">
        <v>1103</v>
      </c>
      <c r="AQ41" s="190" t="s">
        <v>1088</v>
      </c>
      <c r="AR41" s="190"/>
      <c r="AS41" s="190" t="s">
        <v>1103</v>
      </c>
      <c r="AT41" s="190" t="s">
        <v>1103</v>
      </c>
      <c r="AU41" s="190" t="s">
        <v>1103</v>
      </c>
      <c r="AV41" s="190" t="s">
        <v>1103</v>
      </c>
      <c r="AW41" s="190" t="s">
        <v>1103</v>
      </c>
      <c r="AX41" s="190" t="s">
        <v>1103</v>
      </c>
      <c r="AY41" s="190" t="s">
        <v>1103</v>
      </c>
      <c r="AZ41" s="190" t="s">
        <v>1103</v>
      </c>
      <c r="BA41" s="190" t="s">
        <v>1103</v>
      </c>
      <c r="BB41" s="190" t="s">
        <v>1103</v>
      </c>
      <c r="BC41" s="190" t="s">
        <v>1103</v>
      </c>
      <c r="BD41" s="190" t="s">
        <v>1103</v>
      </c>
      <c r="BE41" s="190" t="s">
        <v>1103</v>
      </c>
      <c r="BF41" s="190" t="s">
        <v>1103</v>
      </c>
      <c r="BG41" s="190" t="s">
        <v>1103</v>
      </c>
      <c r="BH41" s="190" t="s">
        <v>1103</v>
      </c>
      <c r="BI41" s="190" t="s">
        <v>1103</v>
      </c>
      <c r="BJ41" s="190" t="s">
        <v>1103</v>
      </c>
      <c r="BK41" s="190" t="s">
        <v>1103</v>
      </c>
      <c r="BL41" s="190" t="s">
        <v>1103</v>
      </c>
      <c r="BM41" s="190" t="s">
        <v>1103</v>
      </c>
      <c r="BN41" s="190" t="s">
        <v>1103</v>
      </c>
      <c r="BO41" s="190" t="s">
        <v>1103</v>
      </c>
      <c r="BP41" s="190" t="s">
        <v>1103</v>
      </c>
      <c r="BQ41" s="190" t="s">
        <v>1103</v>
      </c>
      <c r="BR41" s="190" t="s">
        <v>1103</v>
      </c>
      <c r="BS41" s="190" t="s">
        <v>1103</v>
      </c>
      <c r="BT41" s="190" t="s">
        <v>1103</v>
      </c>
      <c r="BU41" s="190" t="s">
        <v>1103</v>
      </c>
      <c r="BV41" s="190" t="s">
        <v>1103</v>
      </c>
      <c r="BW41" s="190" t="s">
        <v>1103</v>
      </c>
      <c r="BX41" s="190" t="s">
        <v>1103</v>
      </c>
      <c r="BY41" s="190" t="s">
        <v>1103</v>
      </c>
      <c r="BZ41" s="190" t="s">
        <v>1103</v>
      </c>
      <c r="CA41" s="190" t="s">
        <v>1103</v>
      </c>
      <c r="CB41" s="190" t="s">
        <v>1103</v>
      </c>
      <c r="CC41" s="190" t="s">
        <v>1103</v>
      </c>
      <c r="CD41" s="190" t="s">
        <v>1103</v>
      </c>
      <c r="CE41" s="190" t="s">
        <v>1103</v>
      </c>
      <c r="CF41" s="190" t="s">
        <v>1103</v>
      </c>
      <c r="CG41" s="190" t="s">
        <v>1103</v>
      </c>
      <c r="CH41" s="190" t="s">
        <v>1103</v>
      </c>
      <c r="CI41" s="190" t="s">
        <v>1103</v>
      </c>
      <c r="CJ41" s="190" t="s">
        <v>1103</v>
      </c>
      <c r="CK41" s="190" t="s">
        <v>1103</v>
      </c>
      <c r="CL41" s="190" t="s">
        <v>1103</v>
      </c>
      <c r="CM41" s="190" t="s">
        <v>1103</v>
      </c>
      <c r="CN41" s="190" t="s">
        <v>1103</v>
      </c>
      <c r="CO41" s="190" t="s">
        <v>1103</v>
      </c>
      <c r="CP41" s="190" t="s">
        <v>1103</v>
      </c>
      <c r="CQ41" s="190" t="s">
        <v>1103</v>
      </c>
      <c r="CR41" s="190"/>
      <c r="CS41" s="190" t="s">
        <v>1097</v>
      </c>
      <c r="CT41" s="190" t="s">
        <v>1106</v>
      </c>
      <c r="CU41" s="190" t="s">
        <v>1095</v>
      </c>
      <c r="CV41" s="190" t="s">
        <v>1096</v>
      </c>
      <c r="CW41" s="190"/>
      <c r="CX41" s="190" t="s">
        <v>1088</v>
      </c>
      <c r="CY41" s="190" t="s">
        <v>1103</v>
      </c>
      <c r="CZ41" s="190" t="s">
        <v>1103</v>
      </c>
      <c r="DA41" s="190" t="s">
        <v>1069</v>
      </c>
      <c r="DB41" s="190" t="s">
        <v>1103</v>
      </c>
      <c r="DC41" s="190" t="s">
        <v>1103</v>
      </c>
      <c r="DD41" s="190" t="s">
        <v>1103</v>
      </c>
      <c r="DE41" s="190"/>
      <c r="DF41" s="174">
        <v>40</v>
      </c>
      <c r="DH41" s="268"/>
      <c r="DI41" s="268"/>
      <c r="DJ41" s="268"/>
      <c r="DK41" s="268"/>
      <c r="DL41" s="268"/>
      <c r="DM41" s="268"/>
      <c r="DN41" s="268"/>
      <c r="DO41" s="268"/>
      <c r="DP41" s="268"/>
      <c r="DQ41" s="268"/>
      <c r="DR41" s="268"/>
      <c r="DS41" s="268"/>
      <c r="DT41" s="268"/>
      <c r="DU41" s="268"/>
      <c r="DV41" s="268"/>
      <c r="DW41" s="268"/>
      <c r="DX41" s="268"/>
      <c r="DY41" s="268"/>
      <c r="DZ41" s="268"/>
      <c r="EA41" s="268"/>
      <c r="EB41" s="268">
        <f t="shared" ref="EB41:EB66" si="110">DZ41*10</f>
        <v>0</v>
      </c>
      <c r="EN41" s="174" t="s">
        <v>733</v>
      </c>
      <c r="HA41" s="174">
        <v>40</v>
      </c>
      <c r="HB41" s="197">
        <v>38</v>
      </c>
      <c r="HC41" s="183">
        <v>39</v>
      </c>
      <c r="HD41" s="183">
        <v>64</v>
      </c>
      <c r="HE41" s="194">
        <v>25</v>
      </c>
      <c r="HF41" s="183">
        <v>103</v>
      </c>
      <c r="HG41" s="193">
        <f t="shared" si="3"/>
        <v>98</v>
      </c>
      <c r="HH41" s="192" t="e">
        <f t="shared" si="109"/>
        <v>#REF!</v>
      </c>
      <c r="HI41" s="198">
        <v>25</v>
      </c>
      <c r="HJ41" s="185">
        <v>108</v>
      </c>
      <c r="HK41" s="174">
        <v>39</v>
      </c>
      <c r="HL41" s="174">
        <f t="shared" si="83"/>
        <v>226</v>
      </c>
      <c r="HM41" s="174">
        <f t="shared" si="84"/>
        <v>216</v>
      </c>
      <c r="HN41" s="174">
        <f t="shared" si="85"/>
        <v>187</v>
      </c>
      <c r="HO41" s="174">
        <f t="shared" si="86"/>
        <v>168</v>
      </c>
      <c r="HP41" s="174">
        <f t="shared" si="87"/>
        <v>159</v>
      </c>
      <c r="HQ41" s="174">
        <f t="shared" si="88"/>
        <v>149</v>
      </c>
      <c r="HR41" s="174">
        <f t="shared" si="89"/>
        <v>149</v>
      </c>
      <c r="HS41" s="174">
        <f t="shared" si="90"/>
        <v>139</v>
      </c>
      <c r="HT41" s="174">
        <f t="shared" si="91"/>
        <v>129</v>
      </c>
      <c r="HU41" s="174">
        <f t="shared" si="92"/>
        <v>177</v>
      </c>
      <c r="HV41" s="174">
        <f t="shared" si="93"/>
        <v>149</v>
      </c>
      <c r="HW41" s="174">
        <f t="shared" si="94"/>
        <v>139</v>
      </c>
      <c r="HX41" s="174">
        <f t="shared" si="95"/>
        <v>148</v>
      </c>
      <c r="HY41" s="174">
        <f t="shared" si="96"/>
        <v>129</v>
      </c>
      <c r="HZ41" s="174">
        <f t="shared" si="97"/>
        <v>119</v>
      </c>
      <c r="IA41" s="174">
        <f t="shared" si="98"/>
        <v>109</v>
      </c>
      <c r="IB41" s="174">
        <f t="shared" si="99"/>
        <v>138</v>
      </c>
      <c r="IC41" s="174">
        <f t="shared" si="100"/>
        <v>118</v>
      </c>
      <c r="ID41" s="174">
        <f t="shared" si="101"/>
        <v>99</v>
      </c>
      <c r="IE41" s="174">
        <f t="shared" si="102"/>
        <v>108</v>
      </c>
      <c r="IF41" s="174">
        <f t="shared" si="103"/>
        <v>99</v>
      </c>
      <c r="IG41" s="174">
        <f t="shared" si="104"/>
        <v>79</v>
      </c>
      <c r="IH41" s="174">
        <f t="shared" si="105"/>
        <v>69</v>
      </c>
      <c r="II41" s="174">
        <f t="shared" si="106"/>
        <v>49</v>
      </c>
      <c r="IJ41" s="174">
        <v>41</v>
      </c>
      <c r="IN41" s="174">
        <f>Skills!K177</f>
        <v>-21.009999999999998</v>
      </c>
      <c r="IO41" s="174" t="str">
        <f>Skills!B177</f>
        <v>Strikes 3</v>
      </c>
      <c r="IR41" s="174">
        <v>1450000</v>
      </c>
      <c r="IS41" s="174">
        <v>39</v>
      </c>
    </row>
    <row r="42" spans="1:253" ht="13.35" customHeight="1" x14ac:dyDescent="0.2">
      <c r="A42" s="183">
        <f t="shared" si="107"/>
        <v>41</v>
      </c>
      <c r="B42" s="183">
        <v>0</v>
      </c>
      <c r="C42" s="183">
        <f t="shared" si="108"/>
        <v>41</v>
      </c>
      <c r="D42" s="174">
        <v>80</v>
      </c>
      <c r="E42" s="189" t="s">
        <v>754</v>
      </c>
      <c r="F42" s="190" t="s">
        <v>1080</v>
      </c>
      <c r="G42" s="190" t="s">
        <v>1086</v>
      </c>
      <c r="H42" s="190" t="s">
        <v>1078</v>
      </c>
      <c r="I42" s="190" t="s">
        <v>1079</v>
      </c>
      <c r="J42" s="190" t="s">
        <v>1090</v>
      </c>
      <c r="K42" s="190" t="s">
        <v>1104</v>
      </c>
      <c r="L42" s="190" t="s">
        <v>1104</v>
      </c>
      <c r="M42" s="190" t="s">
        <v>1104</v>
      </c>
      <c r="N42" s="190" t="s">
        <v>1104</v>
      </c>
      <c r="O42" s="190" t="s">
        <v>1104</v>
      </c>
      <c r="P42" s="190" t="s">
        <v>1104</v>
      </c>
      <c r="Q42" s="190" t="s">
        <v>1088</v>
      </c>
      <c r="R42" s="190" t="s">
        <v>1088</v>
      </c>
      <c r="S42" s="190" t="s">
        <v>1088</v>
      </c>
      <c r="T42" s="190" t="s">
        <v>1096</v>
      </c>
      <c r="U42" s="190" t="s">
        <v>1096</v>
      </c>
      <c r="V42" s="190" t="s">
        <v>1096</v>
      </c>
      <c r="W42" s="190" t="s">
        <v>1096</v>
      </c>
      <c r="X42" s="190" t="s">
        <v>1096</v>
      </c>
      <c r="Y42" s="190" t="s">
        <v>1096</v>
      </c>
      <c r="Z42" s="190"/>
      <c r="AA42" s="190" t="s">
        <v>1107</v>
      </c>
      <c r="AB42" s="190" t="s">
        <v>1107</v>
      </c>
      <c r="AC42" s="190" t="s">
        <v>1088</v>
      </c>
      <c r="AD42" s="190" t="s">
        <v>1088</v>
      </c>
      <c r="AE42" s="190"/>
      <c r="AF42" s="190" t="s">
        <v>1088</v>
      </c>
      <c r="AG42" s="190" t="s">
        <v>1104</v>
      </c>
      <c r="AH42" s="190" t="s">
        <v>1096</v>
      </c>
      <c r="AI42" s="190"/>
      <c r="AJ42" s="190" t="s">
        <v>1096</v>
      </c>
      <c r="AK42" s="190" t="s">
        <v>1088</v>
      </c>
      <c r="AL42" s="190" t="s">
        <v>1104</v>
      </c>
      <c r="AM42" s="190" t="s">
        <v>1088</v>
      </c>
      <c r="AN42" s="190"/>
      <c r="AO42" s="190" t="s">
        <v>1088</v>
      </c>
      <c r="AP42" s="190" t="s">
        <v>1088</v>
      </c>
      <c r="AQ42" s="190" t="s">
        <v>1096</v>
      </c>
      <c r="AR42" s="190"/>
      <c r="AS42" s="190" t="s">
        <v>1104</v>
      </c>
      <c r="AT42" s="190" t="s">
        <v>1104</v>
      </c>
      <c r="AU42" s="190" t="s">
        <v>1104</v>
      </c>
      <c r="AV42" s="190" t="s">
        <v>1104</v>
      </c>
      <c r="AW42" s="190" t="s">
        <v>1104</v>
      </c>
      <c r="AX42" s="190" t="s">
        <v>1104</v>
      </c>
      <c r="AY42" s="190" t="s">
        <v>1104</v>
      </c>
      <c r="AZ42" s="190" t="s">
        <v>1104</v>
      </c>
      <c r="BA42" s="190" t="s">
        <v>1104</v>
      </c>
      <c r="BB42" s="190" t="s">
        <v>1104</v>
      </c>
      <c r="BC42" s="190" t="s">
        <v>1104</v>
      </c>
      <c r="BD42" s="190" t="s">
        <v>1104</v>
      </c>
      <c r="BE42" s="190" t="s">
        <v>1104</v>
      </c>
      <c r="BF42" s="190" t="s">
        <v>1104</v>
      </c>
      <c r="BG42" s="190" t="s">
        <v>1104</v>
      </c>
      <c r="BH42" s="190" t="s">
        <v>1104</v>
      </c>
      <c r="BI42" s="190" t="s">
        <v>1104</v>
      </c>
      <c r="BJ42" s="190" t="s">
        <v>1104</v>
      </c>
      <c r="BK42" s="190" t="s">
        <v>1104</v>
      </c>
      <c r="BL42" s="190" t="s">
        <v>1104</v>
      </c>
      <c r="BM42" s="190" t="s">
        <v>1104</v>
      </c>
      <c r="BN42" s="190" t="s">
        <v>1104</v>
      </c>
      <c r="BO42" s="190" t="s">
        <v>1104</v>
      </c>
      <c r="BP42" s="190" t="s">
        <v>1104</v>
      </c>
      <c r="BQ42" s="190" t="s">
        <v>1104</v>
      </c>
      <c r="BR42" s="190" t="s">
        <v>1104</v>
      </c>
      <c r="BS42" s="190" t="s">
        <v>1104</v>
      </c>
      <c r="BT42" s="190" t="s">
        <v>1104</v>
      </c>
      <c r="BU42" s="190" t="s">
        <v>1104</v>
      </c>
      <c r="BV42" s="190" t="s">
        <v>1104</v>
      </c>
      <c r="BW42" s="190" t="s">
        <v>1104</v>
      </c>
      <c r="BX42" s="190" t="s">
        <v>1104</v>
      </c>
      <c r="BY42" s="190" t="s">
        <v>1104</v>
      </c>
      <c r="BZ42" s="190" t="s">
        <v>1104</v>
      </c>
      <c r="CA42" s="190" t="s">
        <v>1104</v>
      </c>
      <c r="CB42" s="190" t="s">
        <v>1104</v>
      </c>
      <c r="CC42" s="190" t="s">
        <v>1104</v>
      </c>
      <c r="CD42" s="190" t="s">
        <v>1104</v>
      </c>
      <c r="CE42" s="190" t="s">
        <v>1104</v>
      </c>
      <c r="CF42" s="190" t="s">
        <v>1104</v>
      </c>
      <c r="CG42" s="190" t="s">
        <v>1104</v>
      </c>
      <c r="CH42" s="190" t="s">
        <v>1104</v>
      </c>
      <c r="CI42" s="190" t="s">
        <v>1104</v>
      </c>
      <c r="CJ42" s="190" t="s">
        <v>1104</v>
      </c>
      <c r="CK42" s="190" t="s">
        <v>1104</v>
      </c>
      <c r="CL42" s="190" t="s">
        <v>1104</v>
      </c>
      <c r="CM42" s="190" t="s">
        <v>1104</v>
      </c>
      <c r="CN42" s="190" t="s">
        <v>1104</v>
      </c>
      <c r="CO42" s="190" t="s">
        <v>1104</v>
      </c>
      <c r="CP42" s="190" t="s">
        <v>1104</v>
      </c>
      <c r="CQ42" s="190" t="s">
        <v>1104</v>
      </c>
      <c r="CR42" s="190"/>
      <c r="CS42" s="190" t="s">
        <v>1085</v>
      </c>
      <c r="CT42" s="190" t="s">
        <v>1086</v>
      </c>
      <c r="CU42" s="190" t="s">
        <v>1087</v>
      </c>
      <c r="CV42" s="190" t="s">
        <v>1078</v>
      </c>
      <c r="CW42" s="190"/>
      <c r="CX42" s="190" t="s">
        <v>1096</v>
      </c>
      <c r="CY42" s="190" t="s">
        <v>1088</v>
      </c>
      <c r="CZ42" s="190" t="s">
        <v>1088</v>
      </c>
      <c r="DA42" s="190" t="s">
        <v>1108</v>
      </c>
      <c r="DB42" s="190" t="s">
        <v>1104</v>
      </c>
      <c r="DC42" s="190" t="s">
        <v>1104</v>
      </c>
      <c r="DD42" s="190" t="s">
        <v>1104</v>
      </c>
      <c r="DE42" s="190"/>
      <c r="DF42" s="174">
        <v>41</v>
      </c>
      <c r="DH42" s="268"/>
      <c r="DI42" s="268"/>
      <c r="DJ42" s="268"/>
      <c r="DK42" s="268"/>
      <c r="DL42" s="268"/>
      <c r="DM42" s="268"/>
      <c r="DN42" s="268"/>
      <c r="DO42" s="268"/>
      <c r="DP42" s="268"/>
      <c r="DQ42" s="268"/>
      <c r="DR42" s="268"/>
      <c r="DS42" s="268"/>
      <c r="DT42" s="268"/>
      <c r="DU42" s="268"/>
      <c r="DV42" s="268"/>
      <c r="DW42" s="268"/>
      <c r="DX42" s="268"/>
      <c r="DY42" s="268"/>
      <c r="DZ42" s="268"/>
      <c r="EA42" s="268"/>
      <c r="EB42" s="268">
        <f t="shared" si="110"/>
        <v>0</v>
      </c>
      <c r="EE42" s="174">
        <v>7654</v>
      </c>
      <c r="EN42" s="182" t="s">
        <v>735</v>
      </c>
      <c r="HA42" s="174">
        <v>41</v>
      </c>
      <c r="HB42" s="197">
        <v>39</v>
      </c>
      <c r="HC42" s="183">
        <v>40</v>
      </c>
      <c r="HD42" s="183">
        <v>65</v>
      </c>
      <c r="HE42" s="194">
        <v>25</v>
      </c>
      <c r="HF42" s="183">
        <v>104</v>
      </c>
      <c r="HG42" s="193">
        <f t="shared" si="3"/>
        <v>99</v>
      </c>
      <c r="HH42" s="192" t="e">
        <f t="shared" si="109"/>
        <v>#REF!</v>
      </c>
      <c r="HI42" s="198">
        <v>25</v>
      </c>
      <c r="HJ42" s="185">
        <v>109</v>
      </c>
      <c r="HK42" s="182">
        <v>40</v>
      </c>
      <c r="HL42" s="269">
        <f t="shared" si="83"/>
        <v>230</v>
      </c>
      <c r="HM42" s="269">
        <f t="shared" si="84"/>
        <v>220</v>
      </c>
      <c r="HN42" s="269">
        <f t="shared" si="85"/>
        <v>190</v>
      </c>
      <c r="HO42" s="269">
        <f t="shared" si="86"/>
        <v>170</v>
      </c>
      <c r="HP42" s="269">
        <f t="shared" si="87"/>
        <v>160</v>
      </c>
      <c r="HQ42" s="269">
        <f t="shared" si="88"/>
        <v>150</v>
      </c>
      <c r="HR42" s="269">
        <f t="shared" si="89"/>
        <v>150</v>
      </c>
      <c r="HS42" s="269">
        <f t="shared" si="90"/>
        <v>140</v>
      </c>
      <c r="HT42" s="269">
        <f t="shared" si="91"/>
        <v>130</v>
      </c>
      <c r="HU42" s="269">
        <f t="shared" si="92"/>
        <v>180</v>
      </c>
      <c r="HV42" s="269">
        <f t="shared" si="93"/>
        <v>150</v>
      </c>
      <c r="HW42" s="269">
        <f t="shared" si="94"/>
        <v>140</v>
      </c>
      <c r="HX42" s="269">
        <f t="shared" si="95"/>
        <v>150</v>
      </c>
      <c r="HY42" s="269">
        <f t="shared" si="96"/>
        <v>130</v>
      </c>
      <c r="HZ42" s="269">
        <f t="shared" si="97"/>
        <v>120</v>
      </c>
      <c r="IA42" s="269">
        <f t="shared" si="98"/>
        <v>110</v>
      </c>
      <c r="IB42" s="269">
        <f t="shared" si="99"/>
        <v>140</v>
      </c>
      <c r="IC42" s="269">
        <f t="shared" si="100"/>
        <v>120</v>
      </c>
      <c r="ID42" s="269">
        <f t="shared" si="101"/>
        <v>100</v>
      </c>
      <c r="IE42" s="269">
        <f t="shared" si="102"/>
        <v>110</v>
      </c>
      <c r="IF42" s="269">
        <f t="shared" si="103"/>
        <v>100</v>
      </c>
      <c r="IG42" s="269">
        <f t="shared" si="104"/>
        <v>80</v>
      </c>
      <c r="IH42" s="269">
        <f t="shared" si="105"/>
        <v>70</v>
      </c>
      <c r="II42" s="269">
        <f t="shared" si="106"/>
        <v>50</v>
      </c>
      <c r="IJ42" s="269">
        <v>42</v>
      </c>
      <c r="IN42" s="174">
        <f>Skills!K178</f>
        <v>-27.009999999999998</v>
      </c>
      <c r="IO42" s="174" t="str">
        <f>Skills!B178</f>
        <v>Strikes 2</v>
      </c>
      <c r="IR42" s="174">
        <v>1500000</v>
      </c>
      <c r="IS42" s="174">
        <v>40</v>
      </c>
    </row>
    <row r="43" spans="1:253" ht="13.35" customHeight="1" x14ac:dyDescent="0.2">
      <c r="A43" s="183">
        <f t="shared" si="107"/>
        <v>42</v>
      </c>
      <c r="B43" s="183">
        <v>0</v>
      </c>
      <c r="C43" s="183">
        <f t="shared" si="108"/>
        <v>42</v>
      </c>
      <c r="E43" s="189" t="s">
        <v>753</v>
      </c>
      <c r="F43" s="190" t="s">
        <v>1075</v>
      </c>
      <c r="G43" s="190" t="s">
        <v>1075</v>
      </c>
      <c r="H43" s="190" t="s">
        <v>1075</v>
      </c>
      <c r="I43" s="190" t="s">
        <v>1075</v>
      </c>
      <c r="J43" s="190" t="s">
        <v>1075</v>
      </c>
      <c r="K43" s="190" t="s">
        <v>929</v>
      </c>
      <c r="L43" s="190" t="s">
        <v>929</v>
      </c>
      <c r="M43" s="190" t="s">
        <v>929</v>
      </c>
      <c r="N43" s="190" t="s">
        <v>929</v>
      </c>
      <c r="O43" s="190" t="s">
        <v>929</v>
      </c>
      <c r="P43" s="190" t="s">
        <v>929</v>
      </c>
      <c r="Q43" s="190" t="s">
        <v>929</v>
      </c>
      <c r="R43" s="190" t="s">
        <v>929</v>
      </c>
      <c r="S43" s="190" t="s">
        <v>929</v>
      </c>
      <c r="T43" s="190" t="s">
        <v>934</v>
      </c>
      <c r="U43" s="190" t="s">
        <v>934</v>
      </c>
      <c r="V43" s="190" t="s">
        <v>934</v>
      </c>
      <c r="W43" s="190" t="s">
        <v>934</v>
      </c>
      <c r="X43" s="190" t="s">
        <v>934</v>
      </c>
      <c r="Y43" s="190" t="s">
        <v>934</v>
      </c>
      <c r="Z43" s="190"/>
      <c r="AA43" s="190" t="s">
        <v>929</v>
      </c>
      <c r="AB43" s="190" t="s">
        <v>929</v>
      </c>
      <c r="AC43" s="190" t="s">
        <v>934</v>
      </c>
      <c r="AD43" s="190" t="s">
        <v>934</v>
      </c>
      <c r="AE43" s="190"/>
      <c r="AF43" s="190" t="s">
        <v>929</v>
      </c>
      <c r="AG43" s="190" t="s">
        <v>929</v>
      </c>
      <c r="AH43" s="190" t="s">
        <v>934</v>
      </c>
      <c r="AI43" s="190"/>
      <c r="AJ43" s="190" t="s">
        <v>934</v>
      </c>
      <c r="AK43" s="190" t="s">
        <v>929</v>
      </c>
      <c r="AL43" s="190" t="s">
        <v>929</v>
      </c>
      <c r="AM43" s="190" t="s">
        <v>929</v>
      </c>
      <c r="AN43" s="190"/>
      <c r="AO43" s="190" t="s">
        <v>929</v>
      </c>
      <c r="AP43" s="190" t="s">
        <v>929</v>
      </c>
      <c r="AQ43" s="190" t="s">
        <v>934</v>
      </c>
      <c r="AR43" s="190"/>
      <c r="AS43" s="190" t="s">
        <v>929</v>
      </c>
      <c r="AT43" s="190" t="s">
        <v>929</v>
      </c>
      <c r="AU43" s="190" t="s">
        <v>929</v>
      </c>
      <c r="AV43" s="190" t="s">
        <v>929</v>
      </c>
      <c r="AW43" s="190" t="s">
        <v>929</v>
      </c>
      <c r="AX43" s="190" t="s">
        <v>929</v>
      </c>
      <c r="AY43" s="190" t="s">
        <v>929</v>
      </c>
      <c r="AZ43" s="190" t="s">
        <v>929</v>
      </c>
      <c r="BA43" s="190" t="s">
        <v>929</v>
      </c>
      <c r="BB43" s="190" t="s">
        <v>929</v>
      </c>
      <c r="BC43" s="190" t="s">
        <v>929</v>
      </c>
      <c r="BD43" s="190" t="s">
        <v>929</v>
      </c>
      <c r="BE43" s="190" t="s">
        <v>929</v>
      </c>
      <c r="BF43" s="190" t="s">
        <v>929</v>
      </c>
      <c r="BG43" s="190" t="s">
        <v>929</v>
      </c>
      <c r="BH43" s="190" t="s">
        <v>929</v>
      </c>
      <c r="BI43" s="190" t="s">
        <v>929</v>
      </c>
      <c r="BJ43" s="190" t="s">
        <v>929</v>
      </c>
      <c r="BK43" s="190" t="s">
        <v>929</v>
      </c>
      <c r="BL43" s="190" t="s">
        <v>929</v>
      </c>
      <c r="BM43" s="190" t="s">
        <v>929</v>
      </c>
      <c r="BN43" s="190" t="s">
        <v>929</v>
      </c>
      <c r="BO43" s="190" t="s">
        <v>929</v>
      </c>
      <c r="BP43" s="190" t="s">
        <v>929</v>
      </c>
      <c r="BQ43" s="190" t="s">
        <v>929</v>
      </c>
      <c r="BR43" s="190" t="s">
        <v>929</v>
      </c>
      <c r="BS43" s="190" t="s">
        <v>929</v>
      </c>
      <c r="BT43" s="190" t="s">
        <v>929</v>
      </c>
      <c r="BU43" s="190" t="s">
        <v>929</v>
      </c>
      <c r="BV43" s="190" t="s">
        <v>929</v>
      </c>
      <c r="BW43" s="190" t="s">
        <v>929</v>
      </c>
      <c r="BX43" s="190" t="s">
        <v>929</v>
      </c>
      <c r="BY43" s="190" t="s">
        <v>929</v>
      </c>
      <c r="BZ43" s="190" t="s">
        <v>929</v>
      </c>
      <c r="CA43" s="190" t="s">
        <v>929</v>
      </c>
      <c r="CB43" s="190" t="s">
        <v>929</v>
      </c>
      <c r="CC43" s="190" t="s">
        <v>929</v>
      </c>
      <c r="CD43" s="190" t="s">
        <v>929</v>
      </c>
      <c r="CE43" s="190" t="s">
        <v>929</v>
      </c>
      <c r="CF43" s="190" t="s">
        <v>929</v>
      </c>
      <c r="CG43" s="190" t="s">
        <v>929</v>
      </c>
      <c r="CH43" s="190" t="s">
        <v>929</v>
      </c>
      <c r="CI43" s="190" t="s">
        <v>929</v>
      </c>
      <c r="CJ43" s="190" t="s">
        <v>929</v>
      </c>
      <c r="CK43" s="190" t="s">
        <v>929</v>
      </c>
      <c r="CL43" s="190" t="s">
        <v>929</v>
      </c>
      <c r="CM43" s="190" t="s">
        <v>929</v>
      </c>
      <c r="CN43" s="190" t="s">
        <v>929</v>
      </c>
      <c r="CO43" s="190" t="s">
        <v>929</v>
      </c>
      <c r="CP43" s="190" t="s">
        <v>929</v>
      </c>
      <c r="CQ43" s="190" t="s">
        <v>929</v>
      </c>
      <c r="CR43" s="190"/>
      <c r="CS43" s="190" t="s">
        <v>1075</v>
      </c>
      <c r="CT43" s="190" t="s">
        <v>1075</v>
      </c>
      <c r="CU43" s="190" t="s">
        <v>1075</v>
      </c>
      <c r="CV43" s="190" t="s">
        <v>1075</v>
      </c>
      <c r="CW43" s="190"/>
      <c r="CX43" s="190" t="s">
        <v>934</v>
      </c>
      <c r="CY43" s="190" t="s">
        <v>929</v>
      </c>
      <c r="CZ43" s="190" t="s">
        <v>929</v>
      </c>
      <c r="DA43" s="190" t="s">
        <v>1075</v>
      </c>
      <c r="DB43" s="190" t="s">
        <v>929</v>
      </c>
      <c r="DC43" s="190" t="s">
        <v>929</v>
      </c>
      <c r="DD43" s="190" t="s">
        <v>929</v>
      </c>
      <c r="DE43" s="190"/>
      <c r="DF43" s="174">
        <v>42</v>
      </c>
      <c r="DH43" s="268"/>
      <c r="DI43" s="268"/>
      <c r="DJ43" s="268"/>
      <c r="DK43" s="268"/>
      <c r="DL43" s="268"/>
      <c r="DM43" s="268"/>
      <c r="DN43" s="268"/>
      <c r="DO43" s="268"/>
      <c r="DP43" s="268"/>
      <c r="DQ43" s="268"/>
      <c r="DR43" s="268"/>
      <c r="DS43" s="268"/>
      <c r="DT43" s="268"/>
      <c r="DU43" s="268"/>
      <c r="DV43" s="268"/>
      <c r="DW43" s="268"/>
      <c r="DX43" s="268"/>
      <c r="DY43" s="268"/>
      <c r="DZ43" s="268"/>
      <c r="EA43" s="268"/>
      <c r="EB43" s="268">
        <f t="shared" si="110"/>
        <v>0</v>
      </c>
      <c r="EE43" s="174">
        <v>6543</v>
      </c>
      <c r="EN43" s="174" t="s">
        <v>737</v>
      </c>
      <c r="HA43" s="174">
        <v>42</v>
      </c>
      <c r="HB43" s="197">
        <v>40</v>
      </c>
      <c r="HC43" s="183">
        <v>40</v>
      </c>
      <c r="HD43" s="183">
        <v>65</v>
      </c>
      <c r="HE43" s="194">
        <v>25</v>
      </c>
      <c r="HF43" s="183">
        <v>105</v>
      </c>
      <c r="HG43" s="193">
        <f t="shared" si="3"/>
        <v>100</v>
      </c>
      <c r="HH43" s="192" t="e">
        <f t="shared" si="109"/>
        <v>#REF!</v>
      </c>
      <c r="HI43" s="198">
        <v>25</v>
      </c>
      <c r="HJ43" s="185">
        <v>110</v>
      </c>
      <c r="HK43" s="174">
        <v>41</v>
      </c>
      <c r="HL43" s="174">
        <f t="shared" si="83"/>
        <v>234</v>
      </c>
      <c r="HM43" s="174">
        <f t="shared" si="84"/>
        <v>224</v>
      </c>
      <c r="HN43" s="174">
        <f t="shared" si="85"/>
        <v>193</v>
      </c>
      <c r="HO43" s="174">
        <f t="shared" si="86"/>
        <v>172</v>
      </c>
      <c r="HP43" s="174">
        <f t="shared" si="87"/>
        <v>161</v>
      </c>
      <c r="HQ43" s="174">
        <f t="shared" si="88"/>
        <v>151</v>
      </c>
      <c r="HR43" s="174">
        <f t="shared" si="89"/>
        <v>151</v>
      </c>
      <c r="HS43" s="174">
        <f t="shared" si="90"/>
        <v>141</v>
      </c>
      <c r="HT43" s="174">
        <f t="shared" si="91"/>
        <v>131</v>
      </c>
      <c r="HU43" s="174">
        <f t="shared" si="92"/>
        <v>183</v>
      </c>
      <c r="HV43" s="174">
        <f t="shared" si="93"/>
        <v>151</v>
      </c>
      <c r="HW43" s="174">
        <f t="shared" si="94"/>
        <v>141</v>
      </c>
      <c r="HX43" s="174">
        <f t="shared" si="95"/>
        <v>152</v>
      </c>
      <c r="HY43" s="174">
        <f t="shared" si="96"/>
        <v>131</v>
      </c>
      <c r="HZ43" s="174">
        <f t="shared" si="97"/>
        <v>121</v>
      </c>
      <c r="IA43" s="174">
        <f t="shared" si="98"/>
        <v>111</v>
      </c>
      <c r="IB43" s="174">
        <f t="shared" si="99"/>
        <v>142</v>
      </c>
      <c r="IC43" s="174">
        <f t="shared" si="100"/>
        <v>122</v>
      </c>
      <c r="ID43" s="174">
        <f t="shared" si="101"/>
        <v>101</v>
      </c>
      <c r="IE43" s="174">
        <f t="shared" si="102"/>
        <v>112</v>
      </c>
      <c r="IF43" s="174">
        <f t="shared" si="103"/>
        <v>101</v>
      </c>
      <c r="IG43" s="174">
        <f t="shared" si="104"/>
        <v>81</v>
      </c>
      <c r="IH43" s="174">
        <f t="shared" si="105"/>
        <v>71</v>
      </c>
      <c r="II43" s="174">
        <f t="shared" si="106"/>
        <v>51</v>
      </c>
      <c r="IJ43" s="174">
        <v>43</v>
      </c>
      <c r="IN43" s="174">
        <f>Skills!K179</f>
        <v>-27.009999999999998</v>
      </c>
      <c r="IO43" s="174" t="str">
        <f>Skills!B179</f>
        <v>Strikes 1</v>
      </c>
      <c r="IR43" s="174">
        <v>1550000</v>
      </c>
      <c r="IS43" s="174">
        <v>41</v>
      </c>
    </row>
    <row r="44" spans="1:253" ht="13.35" customHeight="1" x14ac:dyDescent="0.2">
      <c r="A44" s="183">
        <f t="shared" si="107"/>
        <v>43</v>
      </c>
      <c r="B44" s="183">
        <v>0</v>
      </c>
      <c r="C44" s="183">
        <f t="shared" si="108"/>
        <v>43</v>
      </c>
      <c r="E44" s="189" t="s">
        <v>660</v>
      </c>
      <c r="F44" s="190" t="s">
        <v>1109</v>
      </c>
      <c r="G44" s="190" t="s">
        <v>995</v>
      </c>
      <c r="H44" s="190" t="s">
        <v>1110</v>
      </c>
      <c r="I44" s="190" t="s">
        <v>1039</v>
      </c>
      <c r="J44" s="190" t="s">
        <v>1039</v>
      </c>
      <c r="K44" s="190" t="s">
        <v>1030</v>
      </c>
      <c r="L44" s="190" t="s">
        <v>987</v>
      </c>
      <c r="M44" s="190" t="s">
        <v>1030</v>
      </c>
      <c r="N44" s="190" t="s">
        <v>930</v>
      </c>
      <c r="O44" s="190" t="s">
        <v>1030</v>
      </c>
      <c r="P44" s="190" t="s">
        <v>1030</v>
      </c>
      <c r="Q44" s="190" t="s">
        <v>1030</v>
      </c>
      <c r="R44" s="190" t="s">
        <v>1030</v>
      </c>
      <c r="S44" s="190" t="s">
        <v>1030</v>
      </c>
      <c r="T44" s="190" t="s">
        <v>1002</v>
      </c>
      <c r="U44" s="190" t="s">
        <v>1030</v>
      </c>
      <c r="V44" s="190" t="s">
        <v>988</v>
      </c>
      <c r="W44" s="190" t="s">
        <v>1039</v>
      </c>
      <c r="X44" s="190" t="s">
        <v>1031</v>
      </c>
      <c r="Y44" s="190" t="s">
        <v>1111</v>
      </c>
      <c r="Z44" s="190"/>
      <c r="AA44" s="190" t="s">
        <v>1033</v>
      </c>
      <c r="AB44" s="190" t="s">
        <v>1033</v>
      </c>
      <c r="AC44" s="190" t="s">
        <v>930</v>
      </c>
      <c r="AD44" s="190" t="s">
        <v>1032</v>
      </c>
      <c r="AE44" s="190"/>
      <c r="AF44" s="190" t="s">
        <v>1031</v>
      </c>
      <c r="AG44" s="190" t="s">
        <v>1031</v>
      </c>
      <c r="AH44" s="190" t="s">
        <v>988</v>
      </c>
      <c r="AI44" s="190"/>
      <c r="AJ44" s="190" t="s">
        <v>988</v>
      </c>
      <c r="AK44" s="190" t="s">
        <v>1033</v>
      </c>
      <c r="AL44" s="190" t="s">
        <v>1030</v>
      </c>
      <c r="AM44" s="190" t="s">
        <v>1030</v>
      </c>
      <c r="AN44" s="190"/>
      <c r="AO44" s="190" t="s">
        <v>1030</v>
      </c>
      <c r="AP44" s="190" t="s">
        <v>1030</v>
      </c>
      <c r="AQ44" s="190" t="s">
        <v>1039</v>
      </c>
      <c r="AR44" s="190"/>
      <c r="AS44" s="190" t="s">
        <v>1030</v>
      </c>
      <c r="AT44" s="190" t="s">
        <v>1030</v>
      </c>
      <c r="AU44" s="190" t="s">
        <v>1030</v>
      </c>
      <c r="AV44" s="190" t="s">
        <v>1030</v>
      </c>
      <c r="AW44" s="190" t="s">
        <v>1030</v>
      </c>
      <c r="AX44" s="190" t="s">
        <v>1030</v>
      </c>
      <c r="AY44" s="190" t="s">
        <v>1030</v>
      </c>
      <c r="AZ44" s="190" t="s">
        <v>1030</v>
      </c>
      <c r="BA44" s="190" t="s">
        <v>1030</v>
      </c>
      <c r="BB44" s="190" t="s">
        <v>1030</v>
      </c>
      <c r="BC44" s="190" t="s">
        <v>1030</v>
      </c>
      <c r="BD44" s="190" t="s">
        <v>1030</v>
      </c>
      <c r="BE44" s="190" t="s">
        <v>1030</v>
      </c>
      <c r="BF44" s="190" t="s">
        <v>1030</v>
      </c>
      <c r="BG44" s="190" t="s">
        <v>1030</v>
      </c>
      <c r="BH44" s="190" t="s">
        <v>1030</v>
      </c>
      <c r="BI44" s="190" t="s">
        <v>1030</v>
      </c>
      <c r="BJ44" s="190" t="s">
        <v>1030</v>
      </c>
      <c r="BK44" s="190" t="s">
        <v>1030</v>
      </c>
      <c r="BL44" s="190" t="s">
        <v>1030</v>
      </c>
      <c r="BM44" s="190" t="s">
        <v>1030</v>
      </c>
      <c r="BN44" s="190" t="s">
        <v>1030</v>
      </c>
      <c r="BO44" s="190" t="s">
        <v>1030</v>
      </c>
      <c r="BP44" s="190" t="s">
        <v>1030</v>
      </c>
      <c r="BQ44" s="190" t="s">
        <v>1030</v>
      </c>
      <c r="BR44" s="190" t="s">
        <v>1030</v>
      </c>
      <c r="BS44" s="190" t="s">
        <v>1030</v>
      </c>
      <c r="BT44" s="190" t="s">
        <v>1030</v>
      </c>
      <c r="BU44" s="190" t="s">
        <v>1030</v>
      </c>
      <c r="BV44" s="190" t="s">
        <v>1030</v>
      </c>
      <c r="BW44" s="190" t="s">
        <v>1030</v>
      </c>
      <c r="BX44" s="190" t="s">
        <v>1030</v>
      </c>
      <c r="BY44" s="190" t="s">
        <v>1030</v>
      </c>
      <c r="BZ44" s="190" t="s">
        <v>1030</v>
      </c>
      <c r="CA44" s="190" t="s">
        <v>1030</v>
      </c>
      <c r="CB44" s="190" t="s">
        <v>1030</v>
      </c>
      <c r="CC44" s="190" t="s">
        <v>1030</v>
      </c>
      <c r="CD44" s="190" t="s">
        <v>1030</v>
      </c>
      <c r="CE44" s="190" t="s">
        <v>1030</v>
      </c>
      <c r="CF44" s="190" t="s">
        <v>1030</v>
      </c>
      <c r="CG44" s="190" t="s">
        <v>1030</v>
      </c>
      <c r="CH44" s="190" t="s">
        <v>1030</v>
      </c>
      <c r="CI44" s="190" t="s">
        <v>1030</v>
      </c>
      <c r="CJ44" s="190" t="s">
        <v>1030</v>
      </c>
      <c r="CK44" s="190" t="s">
        <v>1030</v>
      </c>
      <c r="CL44" s="190" t="s">
        <v>1030</v>
      </c>
      <c r="CM44" s="190" t="s">
        <v>1030</v>
      </c>
      <c r="CN44" s="190" t="s">
        <v>1030</v>
      </c>
      <c r="CO44" s="190" t="s">
        <v>1030</v>
      </c>
      <c r="CP44" s="190" t="s">
        <v>1030</v>
      </c>
      <c r="CQ44" s="190" t="s">
        <v>1030</v>
      </c>
      <c r="CR44" s="190"/>
      <c r="CS44" s="190" t="s">
        <v>1007</v>
      </c>
      <c r="CT44" s="190" t="s">
        <v>1007</v>
      </c>
      <c r="CU44" s="190" t="s">
        <v>1039</v>
      </c>
      <c r="CV44" s="190" t="s">
        <v>1110</v>
      </c>
      <c r="CW44" s="190"/>
      <c r="CX44" s="190" t="s">
        <v>1030</v>
      </c>
      <c r="CY44" s="190" t="s">
        <v>1030</v>
      </c>
      <c r="CZ44" s="190" t="s">
        <v>930</v>
      </c>
      <c r="DA44" s="190" t="s">
        <v>1007</v>
      </c>
      <c r="DB44" s="190" t="s">
        <v>1030</v>
      </c>
      <c r="DC44" s="190" t="s">
        <v>1030</v>
      </c>
      <c r="DD44" s="190" t="s">
        <v>1030</v>
      </c>
      <c r="DE44" s="190"/>
      <c r="DF44" s="174">
        <v>43</v>
      </c>
      <c r="DH44" s="268"/>
      <c r="DI44" s="268"/>
      <c r="DJ44" s="268"/>
      <c r="DK44" s="268"/>
      <c r="DL44" s="268"/>
      <c r="DM44" s="268"/>
      <c r="DN44" s="268"/>
      <c r="DO44" s="268"/>
      <c r="DP44" s="268"/>
      <c r="DQ44" s="268"/>
      <c r="DR44" s="268"/>
      <c r="DS44" s="268"/>
      <c r="DT44" s="268"/>
      <c r="DU44" s="268"/>
      <c r="DV44" s="268"/>
      <c r="DW44" s="268"/>
      <c r="DX44" s="268"/>
      <c r="DY44" s="268"/>
      <c r="DZ44" s="268"/>
      <c r="EA44" s="268"/>
      <c r="EB44" s="268">
        <f t="shared" si="110"/>
        <v>0</v>
      </c>
      <c r="EE44" s="174">
        <v>6311</v>
      </c>
      <c r="EN44" s="182" t="s">
        <v>738</v>
      </c>
      <c r="HA44" s="174">
        <v>43</v>
      </c>
      <c r="HB44" s="197">
        <v>41</v>
      </c>
      <c r="HC44" s="183">
        <v>41</v>
      </c>
      <c r="HD44" s="183">
        <v>66</v>
      </c>
      <c r="HE44" s="194">
        <v>25</v>
      </c>
      <c r="HF44" s="183">
        <v>106</v>
      </c>
      <c r="HG44" s="193">
        <f t="shared" si="3"/>
        <v>101</v>
      </c>
      <c r="HH44" s="192" t="e">
        <f t="shared" si="109"/>
        <v>#REF!</v>
      </c>
      <c r="HI44" s="198">
        <v>25</v>
      </c>
      <c r="HJ44" s="185">
        <v>110.5</v>
      </c>
      <c r="HK44" s="174">
        <v>42</v>
      </c>
      <c r="HL44" s="174">
        <f t="shared" si="83"/>
        <v>238</v>
      </c>
      <c r="HM44" s="174">
        <f t="shared" si="84"/>
        <v>228</v>
      </c>
      <c r="HN44" s="174">
        <f t="shared" si="85"/>
        <v>196</v>
      </c>
      <c r="HO44" s="174">
        <f t="shared" si="86"/>
        <v>174</v>
      </c>
      <c r="HP44" s="174">
        <f t="shared" si="87"/>
        <v>162</v>
      </c>
      <c r="HQ44" s="174">
        <f t="shared" si="88"/>
        <v>152</v>
      </c>
      <c r="HR44" s="174">
        <f t="shared" si="89"/>
        <v>152</v>
      </c>
      <c r="HS44" s="174">
        <f t="shared" si="90"/>
        <v>142</v>
      </c>
      <c r="HT44" s="174">
        <f t="shared" si="91"/>
        <v>132</v>
      </c>
      <c r="HU44" s="174">
        <f t="shared" si="92"/>
        <v>186</v>
      </c>
      <c r="HV44" s="174">
        <f t="shared" si="93"/>
        <v>152</v>
      </c>
      <c r="HW44" s="174">
        <f t="shared" si="94"/>
        <v>142</v>
      </c>
      <c r="HX44" s="174">
        <f t="shared" si="95"/>
        <v>154</v>
      </c>
      <c r="HY44" s="174">
        <f t="shared" si="96"/>
        <v>132</v>
      </c>
      <c r="HZ44" s="174">
        <f t="shared" si="97"/>
        <v>122</v>
      </c>
      <c r="IA44" s="174">
        <f t="shared" si="98"/>
        <v>112</v>
      </c>
      <c r="IB44" s="174">
        <f t="shared" si="99"/>
        <v>144</v>
      </c>
      <c r="IC44" s="174">
        <f t="shared" si="100"/>
        <v>124</v>
      </c>
      <c r="ID44" s="174">
        <f t="shared" si="101"/>
        <v>102</v>
      </c>
      <c r="IE44" s="174">
        <f t="shared" si="102"/>
        <v>114</v>
      </c>
      <c r="IF44" s="174">
        <f t="shared" si="103"/>
        <v>102</v>
      </c>
      <c r="IG44" s="174">
        <f t="shared" si="104"/>
        <v>82</v>
      </c>
      <c r="IH44" s="174">
        <f t="shared" si="105"/>
        <v>72</v>
      </c>
      <c r="II44" s="174">
        <f t="shared" si="106"/>
        <v>52</v>
      </c>
      <c r="IJ44" s="174">
        <v>44</v>
      </c>
      <c r="IR44" s="174">
        <v>1600000</v>
      </c>
      <c r="IS44" s="174">
        <v>42</v>
      </c>
    </row>
    <row r="45" spans="1:253" ht="13.35" customHeight="1" x14ac:dyDescent="0.2">
      <c r="A45" s="183">
        <f t="shared" si="107"/>
        <v>44</v>
      </c>
      <c r="B45" s="183">
        <v>0</v>
      </c>
      <c r="C45" s="183">
        <f t="shared" si="108"/>
        <v>44</v>
      </c>
      <c r="E45" s="189" t="s">
        <v>663</v>
      </c>
      <c r="F45" s="190" t="s">
        <v>1051</v>
      </c>
      <c r="G45" s="190" t="s">
        <v>999</v>
      </c>
      <c r="H45" s="190" t="s">
        <v>991</v>
      </c>
      <c r="I45" s="190" t="s">
        <v>1007</v>
      </c>
      <c r="J45" s="190" t="s">
        <v>1001</v>
      </c>
      <c r="K45" s="190" t="s">
        <v>1003</v>
      </c>
      <c r="L45" s="190" t="s">
        <v>988</v>
      </c>
      <c r="M45" s="190" t="s">
        <v>1003</v>
      </c>
      <c r="N45" s="190" t="s">
        <v>988</v>
      </c>
      <c r="O45" s="190" t="s">
        <v>1003</v>
      </c>
      <c r="P45" s="190" t="s">
        <v>988</v>
      </c>
      <c r="Q45" s="190" t="s">
        <v>988</v>
      </c>
      <c r="R45" s="190" t="s">
        <v>1003</v>
      </c>
      <c r="S45" s="190" t="s">
        <v>1003</v>
      </c>
      <c r="T45" s="190" t="s">
        <v>1005</v>
      </c>
      <c r="U45" s="190" t="s">
        <v>1003</v>
      </c>
      <c r="V45" s="190" t="s">
        <v>1005</v>
      </c>
      <c r="W45" s="190" t="s">
        <v>995</v>
      </c>
      <c r="X45" s="190" t="s">
        <v>1005</v>
      </c>
      <c r="Y45" s="190" t="s">
        <v>1010</v>
      </c>
      <c r="Z45" s="190"/>
      <c r="AA45" s="190" t="s">
        <v>1003</v>
      </c>
      <c r="AB45" s="190" t="s">
        <v>1003</v>
      </c>
      <c r="AC45" s="190" t="s">
        <v>1002</v>
      </c>
      <c r="AD45" s="190" t="s">
        <v>1004</v>
      </c>
      <c r="AE45" s="190"/>
      <c r="AF45" s="190" t="s">
        <v>1002</v>
      </c>
      <c r="AG45" s="190" t="s">
        <v>1002</v>
      </c>
      <c r="AH45" s="190" t="s">
        <v>1005</v>
      </c>
      <c r="AI45" s="190"/>
      <c r="AJ45" s="190" t="s">
        <v>1039</v>
      </c>
      <c r="AK45" s="190" t="s">
        <v>988</v>
      </c>
      <c r="AL45" s="190" t="s">
        <v>932</v>
      </c>
      <c r="AM45" s="190" t="s">
        <v>1003</v>
      </c>
      <c r="AN45" s="190"/>
      <c r="AO45" s="190" t="s">
        <v>1003</v>
      </c>
      <c r="AP45" s="190" t="s">
        <v>1003</v>
      </c>
      <c r="AQ45" s="190" t="s">
        <v>1064</v>
      </c>
      <c r="AR45" s="190"/>
      <c r="AS45" s="190" t="s">
        <v>1003</v>
      </c>
      <c r="AT45" s="190" t="s">
        <v>1003</v>
      </c>
      <c r="AU45" s="190" t="s">
        <v>1003</v>
      </c>
      <c r="AV45" s="190" t="s">
        <v>1003</v>
      </c>
      <c r="AW45" s="190" t="s">
        <v>1003</v>
      </c>
      <c r="AX45" s="190" t="s">
        <v>1003</v>
      </c>
      <c r="AY45" s="190" t="s">
        <v>1003</v>
      </c>
      <c r="AZ45" s="190" t="s">
        <v>1003</v>
      </c>
      <c r="BA45" s="190" t="s">
        <v>1003</v>
      </c>
      <c r="BB45" s="190" t="s">
        <v>1003</v>
      </c>
      <c r="BC45" s="190" t="s">
        <v>1003</v>
      </c>
      <c r="BD45" s="190" t="s">
        <v>1003</v>
      </c>
      <c r="BE45" s="190" t="s">
        <v>1003</v>
      </c>
      <c r="BF45" s="190" t="s">
        <v>1003</v>
      </c>
      <c r="BG45" s="190" t="s">
        <v>1003</v>
      </c>
      <c r="BH45" s="190" t="s">
        <v>1003</v>
      </c>
      <c r="BI45" s="190" t="s">
        <v>1003</v>
      </c>
      <c r="BJ45" s="190" t="s">
        <v>1003</v>
      </c>
      <c r="BK45" s="190" t="s">
        <v>1003</v>
      </c>
      <c r="BL45" s="190" t="s">
        <v>1003</v>
      </c>
      <c r="BM45" s="190" t="s">
        <v>1003</v>
      </c>
      <c r="BN45" s="190" t="s">
        <v>1003</v>
      </c>
      <c r="BO45" s="190" t="s">
        <v>1003</v>
      </c>
      <c r="BP45" s="190" t="s">
        <v>1003</v>
      </c>
      <c r="BQ45" s="190" t="s">
        <v>1003</v>
      </c>
      <c r="BR45" s="190" t="s">
        <v>1003</v>
      </c>
      <c r="BS45" s="190" t="s">
        <v>1003</v>
      </c>
      <c r="BT45" s="190" t="s">
        <v>1003</v>
      </c>
      <c r="BU45" s="190" t="s">
        <v>1003</v>
      </c>
      <c r="BV45" s="190" t="s">
        <v>1003</v>
      </c>
      <c r="BW45" s="190" t="s">
        <v>1003</v>
      </c>
      <c r="BX45" s="190" t="s">
        <v>1003</v>
      </c>
      <c r="BY45" s="190" t="s">
        <v>1003</v>
      </c>
      <c r="BZ45" s="190" t="s">
        <v>1003</v>
      </c>
      <c r="CA45" s="190" t="s">
        <v>1003</v>
      </c>
      <c r="CB45" s="190" t="s">
        <v>1003</v>
      </c>
      <c r="CC45" s="190" t="s">
        <v>1003</v>
      </c>
      <c r="CD45" s="190" t="s">
        <v>1003</v>
      </c>
      <c r="CE45" s="190" t="s">
        <v>1003</v>
      </c>
      <c r="CF45" s="190" t="s">
        <v>1003</v>
      </c>
      <c r="CG45" s="190" t="s">
        <v>1003</v>
      </c>
      <c r="CH45" s="190" t="s">
        <v>1003</v>
      </c>
      <c r="CI45" s="190" t="s">
        <v>1003</v>
      </c>
      <c r="CJ45" s="190" t="s">
        <v>1003</v>
      </c>
      <c r="CK45" s="190" t="s">
        <v>1003</v>
      </c>
      <c r="CL45" s="190" t="s">
        <v>1003</v>
      </c>
      <c r="CM45" s="190" t="s">
        <v>1003</v>
      </c>
      <c r="CN45" s="190" t="s">
        <v>1003</v>
      </c>
      <c r="CO45" s="190" t="s">
        <v>1003</v>
      </c>
      <c r="CP45" s="190" t="s">
        <v>1003</v>
      </c>
      <c r="CQ45" s="190" t="s">
        <v>1003</v>
      </c>
      <c r="CR45" s="190"/>
      <c r="CS45" s="190" t="s">
        <v>1007</v>
      </c>
      <c r="CT45" s="190" t="s">
        <v>1007</v>
      </c>
      <c r="CU45" s="190" t="s">
        <v>1010</v>
      </c>
      <c r="CV45" s="190" t="s">
        <v>1051</v>
      </c>
      <c r="CW45" s="190"/>
      <c r="CX45" s="190" t="s">
        <v>1003</v>
      </c>
      <c r="CY45" s="190" t="s">
        <v>1003</v>
      </c>
      <c r="CZ45" s="190" t="s">
        <v>988</v>
      </c>
      <c r="DA45" s="190" t="s">
        <v>1007</v>
      </c>
      <c r="DB45" s="190" t="s">
        <v>1003</v>
      </c>
      <c r="DC45" s="190" t="s">
        <v>1003</v>
      </c>
      <c r="DD45" s="190" t="s">
        <v>1003</v>
      </c>
      <c r="DE45" s="190"/>
      <c r="DF45" s="174">
        <v>44</v>
      </c>
      <c r="DH45" s="268"/>
      <c r="DI45" s="268"/>
      <c r="DJ45" s="268"/>
      <c r="DK45" s="268"/>
      <c r="DL45" s="268"/>
      <c r="DM45" s="268"/>
      <c r="DN45" s="268"/>
      <c r="DO45" s="268"/>
      <c r="DP45" s="268"/>
      <c r="DQ45" s="268"/>
      <c r="DR45" s="268"/>
      <c r="DS45" s="268"/>
      <c r="DT45" s="268"/>
      <c r="DU45" s="268"/>
      <c r="DV45" s="268"/>
      <c r="DW45" s="268"/>
      <c r="DX45" s="268"/>
      <c r="DY45" s="268"/>
      <c r="DZ45" s="268"/>
      <c r="EA45" s="268"/>
      <c r="EB45" s="268">
        <f t="shared" si="110"/>
        <v>0</v>
      </c>
      <c r="EE45" s="174">
        <v>6521</v>
      </c>
      <c r="EN45" s="174" t="s">
        <v>740</v>
      </c>
      <c r="HA45" s="174">
        <v>44</v>
      </c>
      <c r="HB45" s="197">
        <v>42</v>
      </c>
      <c r="HC45" s="183">
        <v>41</v>
      </c>
      <c r="HD45" s="183">
        <v>66</v>
      </c>
      <c r="HE45" s="194">
        <v>25</v>
      </c>
      <c r="HF45" s="183">
        <v>107</v>
      </c>
      <c r="HG45" s="193">
        <f t="shared" si="3"/>
        <v>102</v>
      </c>
      <c r="HH45" s="192" t="e">
        <f t="shared" si="109"/>
        <v>#REF!</v>
      </c>
      <c r="HI45" s="198">
        <v>25</v>
      </c>
      <c r="HJ45" s="185">
        <v>111</v>
      </c>
      <c r="HK45" s="174">
        <v>43</v>
      </c>
      <c r="HL45" s="174">
        <f t="shared" si="83"/>
        <v>242</v>
      </c>
      <c r="HM45" s="174">
        <f t="shared" si="84"/>
        <v>232</v>
      </c>
      <c r="HN45" s="174">
        <f t="shared" si="85"/>
        <v>199</v>
      </c>
      <c r="HO45" s="174">
        <f t="shared" si="86"/>
        <v>176</v>
      </c>
      <c r="HP45" s="174">
        <f t="shared" si="87"/>
        <v>163</v>
      </c>
      <c r="HQ45" s="174">
        <f t="shared" si="88"/>
        <v>153</v>
      </c>
      <c r="HR45" s="174">
        <f t="shared" si="89"/>
        <v>153</v>
      </c>
      <c r="HS45" s="174">
        <f t="shared" si="90"/>
        <v>143</v>
      </c>
      <c r="HT45" s="174">
        <f t="shared" si="91"/>
        <v>133</v>
      </c>
      <c r="HU45" s="174">
        <f t="shared" si="92"/>
        <v>189</v>
      </c>
      <c r="HV45" s="174">
        <f t="shared" si="93"/>
        <v>153</v>
      </c>
      <c r="HW45" s="174">
        <f t="shared" si="94"/>
        <v>143</v>
      </c>
      <c r="HX45" s="174">
        <f t="shared" si="95"/>
        <v>156</v>
      </c>
      <c r="HY45" s="174">
        <f t="shared" si="96"/>
        <v>133</v>
      </c>
      <c r="HZ45" s="174">
        <f t="shared" si="97"/>
        <v>123</v>
      </c>
      <c r="IA45" s="174">
        <f t="shared" si="98"/>
        <v>113</v>
      </c>
      <c r="IB45" s="174">
        <f t="shared" si="99"/>
        <v>146</v>
      </c>
      <c r="IC45" s="174">
        <f t="shared" si="100"/>
        <v>126</v>
      </c>
      <c r="ID45" s="174">
        <f t="shared" si="101"/>
        <v>103</v>
      </c>
      <c r="IE45" s="174">
        <f t="shared" si="102"/>
        <v>116</v>
      </c>
      <c r="IF45" s="174">
        <f t="shared" si="103"/>
        <v>103</v>
      </c>
      <c r="IG45" s="174">
        <f t="shared" si="104"/>
        <v>83</v>
      </c>
      <c r="IH45" s="174">
        <f t="shared" si="105"/>
        <v>73</v>
      </c>
      <c r="II45" s="174">
        <f t="shared" si="106"/>
        <v>53</v>
      </c>
      <c r="IJ45" s="174">
        <v>45</v>
      </c>
      <c r="IR45" s="174">
        <v>1650000</v>
      </c>
      <c r="IS45" s="174">
        <v>43</v>
      </c>
    </row>
    <row r="46" spans="1:253" ht="13.35" customHeight="1" x14ac:dyDescent="0.2">
      <c r="A46" s="183">
        <f t="shared" si="107"/>
        <v>45</v>
      </c>
      <c r="B46" s="183">
        <v>0</v>
      </c>
      <c r="C46" s="183">
        <f t="shared" si="108"/>
        <v>45</v>
      </c>
      <c r="E46" s="189" t="s">
        <v>674</v>
      </c>
      <c r="F46" s="190" t="s">
        <v>991</v>
      </c>
      <c r="G46" s="190" t="s">
        <v>999</v>
      </c>
      <c r="H46" s="190" t="s">
        <v>999</v>
      </c>
      <c r="I46" s="190" t="s">
        <v>992</v>
      </c>
      <c r="J46" s="190" t="s">
        <v>995</v>
      </c>
      <c r="K46" s="190" t="s">
        <v>1004</v>
      </c>
      <c r="L46" s="190" t="s">
        <v>1009</v>
      </c>
      <c r="M46" s="190" t="s">
        <v>1004</v>
      </c>
      <c r="N46" s="190" t="s">
        <v>1009</v>
      </c>
      <c r="O46" s="190" t="s">
        <v>1004</v>
      </c>
      <c r="P46" s="190" t="s">
        <v>1002</v>
      </c>
      <c r="Q46" s="190" t="s">
        <v>1002</v>
      </c>
      <c r="R46" s="190" t="s">
        <v>1010</v>
      </c>
      <c r="S46" s="190" t="s">
        <v>1002</v>
      </c>
      <c r="T46" s="190" t="s">
        <v>993</v>
      </c>
      <c r="U46" s="190" t="s">
        <v>1004</v>
      </c>
      <c r="V46" s="190" t="s">
        <v>1010</v>
      </c>
      <c r="W46" s="190" t="s">
        <v>993</v>
      </c>
      <c r="X46" s="190" t="s">
        <v>1010</v>
      </c>
      <c r="Y46" s="190" t="s">
        <v>994</v>
      </c>
      <c r="Z46" s="190"/>
      <c r="AA46" s="190" t="s">
        <v>1004</v>
      </c>
      <c r="AB46" s="190" t="s">
        <v>1004</v>
      </c>
      <c r="AC46" s="190" t="s">
        <v>1010</v>
      </c>
      <c r="AD46" s="190" t="s">
        <v>991</v>
      </c>
      <c r="AE46" s="190"/>
      <c r="AF46" s="190" t="s">
        <v>1005</v>
      </c>
      <c r="AG46" s="190" t="s">
        <v>1005</v>
      </c>
      <c r="AH46" s="190" t="s">
        <v>1010</v>
      </c>
      <c r="AI46" s="190"/>
      <c r="AJ46" s="190" t="s">
        <v>1005</v>
      </c>
      <c r="AK46" s="190" t="s">
        <v>1001</v>
      </c>
      <c r="AL46" s="190" t="s">
        <v>1032</v>
      </c>
      <c r="AM46" s="190" t="s">
        <v>1002</v>
      </c>
      <c r="AN46" s="190"/>
      <c r="AO46" s="190" t="s">
        <v>1002</v>
      </c>
      <c r="AP46" s="190" t="s">
        <v>1004</v>
      </c>
      <c r="AQ46" s="190" t="s">
        <v>992</v>
      </c>
      <c r="AR46" s="190"/>
      <c r="AS46" s="190" t="s">
        <v>1004</v>
      </c>
      <c r="AT46" s="190" t="s">
        <v>1004</v>
      </c>
      <c r="AU46" s="190" t="s">
        <v>1004</v>
      </c>
      <c r="AV46" s="190" t="s">
        <v>1004</v>
      </c>
      <c r="AW46" s="190" t="s">
        <v>1004</v>
      </c>
      <c r="AX46" s="190" t="s">
        <v>1004</v>
      </c>
      <c r="AY46" s="190" t="s">
        <v>1004</v>
      </c>
      <c r="AZ46" s="190" t="s">
        <v>1004</v>
      </c>
      <c r="BA46" s="190" t="s">
        <v>1004</v>
      </c>
      <c r="BB46" s="190" t="s">
        <v>1004</v>
      </c>
      <c r="BC46" s="190" t="s">
        <v>1004</v>
      </c>
      <c r="BD46" s="190" t="s">
        <v>1004</v>
      </c>
      <c r="BE46" s="190" t="s">
        <v>1004</v>
      </c>
      <c r="BF46" s="190" t="s">
        <v>1004</v>
      </c>
      <c r="BG46" s="190" t="s">
        <v>1004</v>
      </c>
      <c r="BH46" s="190" t="s">
        <v>1004</v>
      </c>
      <c r="BI46" s="190" t="s">
        <v>1004</v>
      </c>
      <c r="BJ46" s="190" t="s">
        <v>1004</v>
      </c>
      <c r="BK46" s="190" t="s">
        <v>1004</v>
      </c>
      <c r="BL46" s="190" t="s">
        <v>1004</v>
      </c>
      <c r="BM46" s="190" t="s">
        <v>1004</v>
      </c>
      <c r="BN46" s="190" t="s">
        <v>1004</v>
      </c>
      <c r="BO46" s="190" t="s">
        <v>1004</v>
      </c>
      <c r="BP46" s="190" t="s">
        <v>1004</v>
      </c>
      <c r="BQ46" s="190" t="s">
        <v>1004</v>
      </c>
      <c r="BR46" s="190" t="s">
        <v>1004</v>
      </c>
      <c r="BS46" s="190" t="s">
        <v>1004</v>
      </c>
      <c r="BT46" s="190" t="s">
        <v>1004</v>
      </c>
      <c r="BU46" s="190" t="s">
        <v>1004</v>
      </c>
      <c r="BV46" s="190" t="s">
        <v>1004</v>
      </c>
      <c r="BW46" s="190" t="s">
        <v>1004</v>
      </c>
      <c r="BX46" s="190" t="s">
        <v>1004</v>
      </c>
      <c r="BY46" s="190" t="s">
        <v>1004</v>
      </c>
      <c r="BZ46" s="190" t="s">
        <v>1004</v>
      </c>
      <c r="CA46" s="190" t="s">
        <v>1004</v>
      </c>
      <c r="CB46" s="190" t="s">
        <v>1004</v>
      </c>
      <c r="CC46" s="190" t="s">
        <v>1004</v>
      </c>
      <c r="CD46" s="190" t="s">
        <v>1004</v>
      </c>
      <c r="CE46" s="190" t="s">
        <v>1004</v>
      </c>
      <c r="CF46" s="190" t="s">
        <v>1004</v>
      </c>
      <c r="CG46" s="190" t="s">
        <v>1004</v>
      </c>
      <c r="CH46" s="190" t="s">
        <v>1004</v>
      </c>
      <c r="CI46" s="190" t="s">
        <v>1004</v>
      </c>
      <c r="CJ46" s="190" t="s">
        <v>1004</v>
      </c>
      <c r="CK46" s="190" t="s">
        <v>1004</v>
      </c>
      <c r="CL46" s="190" t="s">
        <v>1004</v>
      </c>
      <c r="CM46" s="190" t="s">
        <v>1004</v>
      </c>
      <c r="CN46" s="190" t="s">
        <v>1004</v>
      </c>
      <c r="CO46" s="190" t="s">
        <v>1004</v>
      </c>
      <c r="CP46" s="190" t="s">
        <v>1004</v>
      </c>
      <c r="CQ46" s="190" t="s">
        <v>1004</v>
      </c>
      <c r="CR46" s="190"/>
      <c r="CS46" s="190" t="s">
        <v>994</v>
      </c>
      <c r="CT46" s="190" t="s">
        <v>999</v>
      </c>
      <c r="CU46" s="190" t="s">
        <v>995</v>
      </c>
      <c r="CV46" s="190" t="s">
        <v>991</v>
      </c>
      <c r="CW46" s="190"/>
      <c r="CX46" s="190" t="s">
        <v>1010</v>
      </c>
      <c r="CY46" s="190" t="s">
        <v>1004</v>
      </c>
      <c r="CZ46" s="190" t="s">
        <v>1009</v>
      </c>
      <c r="DA46" s="190" t="s">
        <v>994</v>
      </c>
      <c r="DB46" s="190" t="s">
        <v>1004</v>
      </c>
      <c r="DC46" s="190" t="s">
        <v>1004</v>
      </c>
      <c r="DD46" s="190" t="s">
        <v>1004</v>
      </c>
      <c r="DE46" s="190"/>
      <c r="DF46" s="174">
        <v>45</v>
      </c>
      <c r="DH46" s="268"/>
      <c r="DI46" s="268"/>
      <c r="DJ46" s="268"/>
      <c r="DK46" s="268"/>
      <c r="DL46" s="268"/>
      <c r="DM46" s="268"/>
      <c r="DN46" s="268"/>
      <c r="DO46" s="268"/>
      <c r="DP46" s="268"/>
      <c r="DQ46" s="268"/>
      <c r="DR46" s="268"/>
      <c r="DS46" s="268"/>
      <c r="DT46" s="268"/>
      <c r="DU46" s="268"/>
      <c r="DV46" s="268"/>
      <c r="DW46" s="268"/>
      <c r="DX46" s="268"/>
      <c r="DY46" s="268"/>
      <c r="DZ46" s="268"/>
      <c r="EA46" s="268"/>
      <c r="EB46" s="268">
        <f t="shared" si="110"/>
        <v>0</v>
      </c>
      <c r="EN46" s="174" t="s">
        <v>1112</v>
      </c>
      <c r="EO46" s="174">
        <v>12</v>
      </c>
      <c r="EP46" s="174">
        <v>10</v>
      </c>
      <c r="EQ46" s="174">
        <v>10</v>
      </c>
      <c r="ER46" s="174">
        <v>12</v>
      </c>
      <c r="ES46" s="174">
        <v>12</v>
      </c>
      <c r="ET46" s="174">
        <v>12</v>
      </c>
      <c r="EU46" s="174">
        <v>10</v>
      </c>
      <c r="EV46" s="174">
        <v>11</v>
      </c>
      <c r="EW46" s="174">
        <v>11</v>
      </c>
      <c r="EX46" s="174">
        <v>10</v>
      </c>
      <c r="EY46" s="174">
        <v>13</v>
      </c>
      <c r="EZ46" s="174">
        <v>12</v>
      </c>
      <c r="FA46" s="174">
        <v>10</v>
      </c>
      <c r="FB46" s="174">
        <v>12</v>
      </c>
      <c r="FC46" s="174">
        <v>10</v>
      </c>
      <c r="FD46" s="174">
        <v>12</v>
      </c>
      <c r="FE46" s="174">
        <v>11</v>
      </c>
      <c r="FF46" s="174">
        <v>11</v>
      </c>
      <c r="FG46" s="174">
        <v>12</v>
      </c>
      <c r="FH46" s="174">
        <v>12</v>
      </c>
      <c r="FI46" s="174">
        <v>12</v>
      </c>
      <c r="FJ46" s="174">
        <v>12</v>
      </c>
      <c r="FK46" s="174">
        <v>12</v>
      </c>
      <c r="FL46" s="174">
        <v>12</v>
      </c>
      <c r="FM46" s="174">
        <v>12</v>
      </c>
      <c r="FN46" s="174">
        <v>12</v>
      </c>
      <c r="FO46" s="174">
        <v>12</v>
      </c>
      <c r="FP46" s="174">
        <v>12</v>
      </c>
      <c r="FQ46" s="174">
        <v>12</v>
      </c>
      <c r="FR46" s="174">
        <v>12</v>
      </c>
      <c r="FS46" s="174">
        <v>12</v>
      </c>
      <c r="FT46" s="174">
        <v>12</v>
      </c>
      <c r="FU46" s="174">
        <v>12</v>
      </c>
      <c r="FV46" s="174">
        <v>12</v>
      </c>
      <c r="FW46" s="174">
        <v>12</v>
      </c>
      <c r="FX46" s="174">
        <v>14</v>
      </c>
      <c r="FY46" s="174">
        <v>12</v>
      </c>
      <c r="FZ46" s="174">
        <v>12</v>
      </c>
      <c r="HA46" s="174">
        <v>45</v>
      </c>
      <c r="HB46" s="197">
        <v>43</v>
      </c>
      <c r="HC46" s="183">
        <v>42</v>
      </c>
      <c r="HD46" s="183">
        <v>67</v>
      </c>
      <c r="HE46" s="194">
        <v>25</v>
      </c>
      <c r="HF46" s="183">
        <v>108</v>
      </c>
      <c r="HG46" s="193">
        <f t="shared" si="3"/>
        <v>103</v>
      </c>
      <c r="HH46" s="192" t="e">
        <f t="shared" si="109"/>
        <v>#REF!</v>
      </c>
      <c r="HI46" s="198">
        <v>25</v>
      </c>
      <c r="HJ46" s="185">
        <v>111.5</v>
      </c>
      <c r="HK46" s="174">
        <v>44</v>
      </c>
      <c r="HL46" s="174">
        <f t="shared" si="83"/>
        <v>246</v>
      </c>
      <c r="HM46" s="174">
        <f t="shared" si="84"/>
        <v>236</v>
      </c>
      <c r="HN46" s="174">
        <f t="shared" si="85"/>
        <v>202</v>
      </c>
      <c r="HO46" s="174">
        <f t="shared" si="86"/>
        <v>178</v>
      </c>
      <c r="HP46" s="174">
        <f t="shared" si="87"/>
        <v>164</v>
      </c>
      <c r="HQ46" s="174">
        <f t="shared" si="88"/>
        <v>154</v>
      </c>
      <c r="HR46" s="174">
        <f t="shared" si="89"/>
        <v>154</v>
      </c>
      <c r="HS46" s="174">
        <f t="shared" si="90"/>
        <v>144</v>
      </c>
      <c r="HT46" s="174">
        <f t="shared" si="91"/>
        <v>134</v>
      </c>
      <c r="HU46" s="174">
        <f t="shared" si="92"/>
        <v>192</v>
      </c>
      <c r="HV46" s="174">
        <f t="shared" si="93"/>
        <v>154</v>
      </c>
      <c r="HW46" s="174">
        <f t="shared" si="94"/>
        <v>144</v>
      </c>
      <c r="HX46" s="174">
        <f t="shared" si="95"/>
        <v>158</v>
      </c>
      <c r="HY46" s="174">
        <f t="shared" si="96"/>
        <v>134</v>
      </c>
      <c r="HZ46" s="174">
        <f t="shared" si="97"/>
        <v>124</v>
      </c>
      <c r="IA46" s="174">
        <f t="shared" si="98"/>
        <v>114</v>
      </c>
      <c r="IB46" s="174">
        <f t="shared" si="99"/>
        <v>148</v>
      </c>
      <c r="IC46" s="174">
        <f t="shared" si="100"/>
        <v>128</v>
      </c>
      <c r="ID46" s="174">
        <f t="shared" si="101"/>
        <v>104</v>
      </c>
      <c r="IE46" s="174">
        <f t="shared" si="102"/>
        <v>118</v>
      </c>
      <c r="IF46" s="174">
        <f t="shared" si="103"/>
        <v>104</v>
      </c>
      <c r="IG46" s="174">
        <f t="shared" si="104"/>
        <v>84</v>
      </c>
      <c r="IH46" s="174">
        <f t="shared" si="105"/>
        <v>74</v>
      </c>
      <c r="II46" s="174">
        <f t="shared" si="106"/>
        <v>54</v>
      </c>
      <c r="IJ46" s="174">
        <v>46</v>
      </c>
      <c r="IR46" s="174">
        <v>1700000</v>
      </c>
      <c r="IS46" s="174">
        <v>44</v>
      </c>
    </row>
    <row r="47" spans="1:253" ht="13.35" customHeight="1" x14ac:dyDescent="0.2">
      <c r="A47" s="183">
        <f t="shared" si="107"/>
        <v>46</v>
      </c>
      <c r="B47" s="183">
        <v>0</v>
      </c>
      <c r="C47" s="183">
        <f t="shared" si="108"/>
        <v>46</v>
      </c>
      <c r="E47" s="189" t="s">
        <v>679</v>
      </c>
      <c r="F47" s="190" t="s">
        <v>1006</v>
      </c>
      <c r="G47" s="190" t="s">
        <v>1006</v>
      </c>
      <c r="H47" s="190" t="s">
        <v>1006</v>
      </c>
      <c r="I47" s="190" t="s">
        <v>1006</v>
      </c>
      <c r="J47" s="190" t="s">
        <v>1006</v>
      </c>
      <c r="K47" s="190" t="s">
        <v>1006</v>
      </c>
      <c r="L47" s="190" t="s">
        <v>1006</v>
      </c>
      <c r="M47" s="190" t="s">
        <v>1113</v>
      </c>
      <c r="N47" s="190" t="s">
        <v>1006</v>
      </c>
      <c r="O47" s="190" t="s">
        <v>1006</v>
      </c>
      <c r="P47" s="190" t="s">
        <v>1006</v>
      </c>
      <c r="Q47" s="190" t="s">
        <v>1006</v>
      </c>
      <c r="R47" s="190" t="s">
        <v>1006</v>
      </c>
      <c r="S47" s="190" t="s">
        <v>1006</v>
      </c>
      <c r="T47" s="190" t="s">
        <v>1006</v>
      </c>
      <c r="U47" s="190" t="s">
        <v>1006</v>
      </c>
      <c r="V47" s="190" t="s">
        <v>1006</v>
      </c>
      <c r="W47" s="190" t="s">
        <v>1006</v>
      </c>
      <c r="X47" s="190" t="s">
        <v>1006</v>
      </c>
      <c r="Y47" s="190" t="s">
        <v>1006</v>
      </c>
      <c r="Z47" s="190"/>
      <c r="AA47" s="190" t="s">
        <v>1006</v>
      </c>
      <c r="AB47" s="190" t="s">
        <v>1006</v>
      </c>
      <c r="AC47" s="190" t="s">
        <v>1006</v>
      </c>
      <c r="AD47" s="190" t="s">
        <v>1006</v>
      </c>
      <c r="AE47" s="190"/>
      <c r="AF47" s="190" t="s">
        <v>1006</v>
      </c>
      <c r="AG47" s="190" t="s">
        <v>1006</v>
      </c>
      <c r="AH47" s="190" t="s">
        <v>1006</v>
      </c>
      <c r="AI47" s="190"/>
      <c r="AJ47" s="190" t="s">
        <v>1006</v>
      </c>
      <c r="AK47" s="190" t="s">
        <v>1006</v>
      </c>
      <c r="AL47" s="190" t="s">
        <v>1006</v>
      </c>
      <c r="AM47" s="190" t="s">
        <v>1006</v>
      </c>
      <c r="AN47" s="190"/>
      <c r="AO47" s="190" t="s">
        <v>1006</v>
      </c>
      <c r="AP47" s="190" t="s">
        <v>1006</v>
      </c>
      <c r="AQ47" s="190" t="s">
        <v>1006</v>
      </c>
      <c r="AR47" s="190"/>
      <c r="AS47" s="190" t="s">
        <v>1006</v>
      </c>
      <c r="AT47" s="190" t="s">
        <v>1006</v>
      </c>
      <c r="AU47" s="190" t="s">
        <v>1006</v>
      </c>
      <c r="AV47" s="190" t="s">
        <v>1006</v>
      </c>
      <c r="AW47" s="190" t="s">
        <v>1006</v>
      </c>
      <c r="AX47" s="190" t="s">
        <v>1006</v>
      </c>
      <c r="AY47" s="190" t="s">
        <v>1006</v>
      </c>
      <c r="AZ47" s="190" t="s">
        <v>1006</v>
      </c>
      <c r="BA47" s="190" t="s">
        <v>1006</v>
      </c>
      <c r="BB47" s="190" t="s">
        <v>1006</v>
      </c>
      <c r="BC47" s="190" t="s">
        <v>1006</v>
      </c>
      <c r="BD47" s="190" t="s">
        <v>1006</v>
      </c>
      <c r="BE47" s="190" t="s">
        <v>1006</v>
      </c>
      <c r="BF47" s="190" t="s">
        <v>1006</v>
      </c>
      <c r="BG47" s="190" t="s">
        <v>1006</v>
      </c>
      <c r="BH47" s="190" t="s">
        <v>1006</v>
      </c>
      <c r="BI47" s="190" t="s">
        <v>1006</v>
      </c>
      <c r="BJ47" s="190" t="s">
        <v>1006</v>
      </c>
      <c r="BK47" s="190" t="s">
        <v>1006</v>
      </c>
      <c r="BL47" s="190" t="s">
        <v>1006</v>
      </c>
      <c r="BM47" s="190" t="s">
        <v>1006</v>
      </c>
      <c r="BN47" s="190" t="s">
        <v>1006</v>
      </c>
      <c r="BO47" s="190" t="s">
        <v>1006</v>
      </c>
      <c r="BP47" s="190" t="s">
        <v>1006</v>
      </c>
      <c r="BQ47" s="190" t="s">
        <v>1006</v>
      </c>
      <c r="BR47" s="190" t="s">
        <v>1006</v>
      </c>
      <c r="BS47" s="190" t="s">
        <v>1006</v>
      </c>
      <c r="BT47" s="190" t="s">
        <v>1006</v>
      </c>
      <c r="BU47" s="190" t="s">
        <v>1006</v>
      </c>
      <c r="BV47" s="190" t="s">
        <v>1006</v>
      </c>
      <c r="BW47" s="190" t="s">
        <v>1006</v>
      </c>
      <c r="BX47" s="190" t="s">
        <v>1006</v>
      </c>
      <c r="BY47" s="190" t="s">
        <v>1006</v>
      </c>
      <c r="BZ47" s="190" t="s">
        <v>1006</v>
      </c>
      <c r="CA47" s="190" t="s">
        <v>1006</v>
      </c>
      <c r="CB47" s="190" t="s">
        <v>1006</v>
      </c>
      <c r="CC47" s="190" t="s">
        <v>1006</v>
      </c>
      <c r="CD47" s="190" t="s">
        <v>1006</v>
      </c>
      <c r="CE47" s="190" t="s">
        <v>1006</v>
      </c>
      <c r="CF47" s="190" t="s">
        <v>1006</v>
      </c>
      <c r="CG47" s="190" t="s">
        <v>1006</v>
      </c>
      <c r="CH47" s="190" t="s">
        <v>1006</v>
      </c>
      <c r="CI47" s="190" t="s">
        <v>1006</v>
      </c>
      <c r="CJ47" s="190" t="s">
        <v>1006</v>
      </c>
      <c r="CK47" s="190" t="s">
        <v>1006</v>
      </c>
      <c r="CL47" s="190" t="s">
        <v>1006</v>
      </c>
      <c r="CM47" s="190" t="s">
        <v>1006</v>
      </c>
      <c r="CN47" s="190" t="s">
        <v>1006</v>
      </c>
      <c r="CO47" s="190" t="s">
        <v>1006</v>
      </c>
      <c r="CP47" s="190" t="s">
        <v>1006</v>
      </c>
      <c r="CQ47" s="190" t="s">
        <v>1006</v>
      </c>
      <c r="CR47" s="190"/>
      <c r="CS47" s="190" t="s">
        <v>1006</v>
      </c>
      <c r="CT47" s="190" t="s">
        <v>1006</v>
      </c>
      <c r="CU47" s="190" t="s">
        <v>1006</v>
      </c>
      <c r="CV47" s="190" t="s">
        <v>1006</v>
      </c>
      <c r="CW47" s="190"/>
      <c r="CX47" s="190" t="s">
        <v>1006</v>
      </c>
      <c r="CY47" s="190" t="s">
        <v>1006</v>
      </c>
      <c r="CZ47" s="190" t="s">
        <v>1006</v>
      </c>
      <c r="DA47" s="190" t="s">
        <v>1006</v>
      </c>
      <c r="DB47" s="190" t="s">
        <v>1006</v>
      </c>
      <c r="DC47" s="190" t="s">
        <v>1006</v>
      </c>
      <c r="DD47" s="190" t="s">
        <v>1006</v>
      </c>
      <c r="DE47" s="190"/>
      <c r="DF47" s="174">
        <v>46</v>
      </c>
      <c r="DH47" s="268"/>
      <c r="DI47" s="268"/>
      <c r="DJ47" s="268"/>
      <c r="DK47" s="268"/>
      <c r="DL47" s="268"/>
      <c r="DM47" s="268"/>
      <c r="DN47" s="268"/>
      <c r="DO47" s="268"/>
      <c r="DP47" s="268"/>
      <c r="DQ47" s="268"/>
      <c r="DR47" s="268"/>
      <c r="DS47" s="268"/>
      <c r="DT47" s="268"/>
      <c r="DU47" s="268"/>
      <c r="DV47" s="268"/>
      <c r="DW47" s="268"/>
      <c r="DX47" s="268"/>
      <c r="DY47" s="268"/>
      <c r="DZ47" s="268"/>
      <c r="EA47" s="268"/>
      <c r="EB47" s="268">
        <f t="shared" si="110"/>
        <v>0</v>
      </c>
      <c r="EO47" s="174">
        <f t="shared" ref="EO47:FT47" si="111">SUM(EO4:EO45)</f>
        <v>56</v>
      </c>
      <c r="EP47" s="174">
        <f t="shared" si="111"/>
        <v>59</v>
      </c>
      <c r="EQ47" s="174">
        <f t="shared" si="111"/>
        <v>59</v>
      </c>
      <c r="ER47" s="174">
        <f t="shared" si="111"/>
        <v>53</v>
      </c>
      <c r="ES47" s="174">
        <f t="shared" si="111"/>
        <v>50</v>
      </c>
      <c r="ET47" s="174">
        <f t="shared" si="111"/>
        <v>54</v>
      </c>
      <c r="EU47" s="174">
        <f t="shared" si="111"/>
        <v>57</v>
      </c>
      <c r="EV47" s="174">
        <f t="shared" si="111"/>
        <v>55</v>
      </c>
      <c r="EW47" s="174">
        <f t="shared" si="111"/>
        <v>69</v>
      </c>
      <c r="EX47" s="174">
        <f t="shared" si="111"/>
        <v>69</v>
      </c>
      <c r="EY47" s="174">
        <f t="shared" si="111"/>
        <v>58</v>
      </c>
      <c r="EZ47" s="174">
        <f t="shared" si="111"/>
        <v>69</v>
      </c>
      <c r="FA47" s="174">
        <f t="shared" si="111"/>
        <v>57</v>
      </c>
      <c r="FB47" s="174">
        <f t="shared" si="111"/>
        <v>61</v>
      </c>
      <c r="FC47" s="174">
        <f t="shared" si="111"/>
        <v>55</v>
      </c>
      <c r="FD47" s="174">
        <f t="shared" si="111"/>
        <v>64</v>
      </c>
      <c r="FE47" s="174">
        <f t="shared" si="111"/>
        <v>54</v>
      </c>
      <c r="FF47" s="174">
        <f t="shared" si="111"/>
        <v>61</v>
      </c>
      <c r="FG47" s="174">
        <f t="shared" si="111"/>
        <v>54</v>
      </c>
      <c r="FH47" s="174">
        <f t="shared" si="111"/>
        <v>48</v>
      </c>
      <c r="FI47" s="174">
        <f t="shared" si="111"/>
        <v>47</v>
      </c>
      <c r="FJ47" s="174">
        <f t="shared" si="111"/>
        <v>47</v>
      </c>
      <c r="FK47" s="174">
        <f t="shared" si="111"/>
        <v>42</v>
      </c>
      <c r="FL47" s="174">
        <f t="shared" si="111"/>
        <v>37</v>
      </c>
      <c r="FM47" s="174">
        <f t="shared" si="111"/>
        <v>40</v>
      </c>
      <c r="FN47" s="174">
        <f t="shared" si="111"/>
        <v>49</v>
      </c>
      <c r="FO47" s="174">
        <f t="shared" si="111"/>
        <v>50</v>
      </c>
      <c r="FP47" s="174">
        <f t="shared" si="111"/>
        <v>47</v>
      </c>
      <c r="FQ47" s="174">
        <f t="shared" si="111"/>
        <v>43</v>
      </c>
      <c r="FR47" s="174">
        <f t="shared" si="111"/>
        <v>45</v>
      </c>
      <c r="FS47" s="174">
        <f t="shared" si="111"/>
        <v>41</v>
      </c>
      <c r="FT47" s="174">
        <f t="shared" si="111"/>
        <v>45</v>
      </c>
      <c r="FU47" s="174">
        <f t="shared" ref="FU47:FZ47" si="112">SUM(FU4:FU45)</f>
        <v>43</v>
      </c>
      <c r="FV47" s="174">
        <f t="shared" si="112"/>
        <v>46</v>
      </c>
      <c r="FW47" s="174">
        <f t="shared" si="112"/>
        <v>42</v>
      </c>
      <c r="FX47" s="174">
        <f t="shared" si="112"/>
        <v>44</v>
      </c>
      <c r="FY47" s="174">
        <f t="shared" si="112"/>
        <v>45</v>
      </c>
      <c r="FZ47" s="174">
        <f t="shared" si="112"/>
        <v>44</v>
      </c>
      <c r="HA47" s="174">
        <v>46</v>
      </c>
      <c r="HB47" s="197">
        <v>44</v>
      </c>
      <c r="HC47" s="183">
        <v>42</v>
      </c>
      <c r="HD47" s="183">
        <v>67</v>
      </c>
      <c r="HE47" s="194">
        <v>25</v>
      </c>
      <c r="HF47" s="183">
        <v>109</v>
      </c>
      <c r="HG47" s="193">
        <f t="shared" si="3"/>
        <v>104</v>
      </c>
      <c r="HH47" s="192" t="e">
        <f t="shared" si="109"/>
        <v>#REF!</v>
      </c>
      <c r="HI47" s="198">
        <v>25</v>
      </c>
      <c r="HJ47" s="185">
        <v>112</v>
      </c>
      <c r="HK47" s="174">
        <v>45</v>
      </c>
      <c r="HL47" s="174">
        <f t="shared" si="83"/>
        <v>250</v>
      </c>
      <c r="HM47" s="174">
        <f t="shared" si="84"/>
        <v>240</v>
      </c>
      <c r="HN47" s="174">
        <f t="shared" si="85"/>
        <v>205</v>
      </c>
      <c r="HO47" s="174">
        <f t="shared" si="86"/>
        <v>180</v>
      </c>
      <c r="HP47" s="174">
        <f t="shared" si="87"/>
        <v>165</v>
      </c>
      <c r="HQ47" s="174">
        <f t="shared" si="88"/>
        <v>155</v>
      </c>
      <c r="HR47" s="174">
        <f t="shared" si="89"/>
        <v>155</v>
      </c>
      <c r="HS47" s="174">
        <f t="shared" si="90"/>
        <v>145</v>
      </c>
      <c r="HT47" s="174">
        <f t="shared" si="91"/>
        <v>135</v>
      </c>
      <c r="HU47" s="174">
        <f t="shared" si="92"/>
        <v>195</v>
      </c>
      <c r="HV47" s="174">
        <f t="shared" si="93"/>
        <v>155</v>
      </c>
      <c r="HW47" s="174">
        <f t="shared" si="94"/>
        <v>145</v>
      </c>
      <c r="HX47" s="174">
        <f t="shared" si="95"/>
        <v>160</v>
      </c>
      <c r="HY47" s="174">
        <f t="shared" si="96"/>
        <v>135</v>
      </c>
      <c r="HZ47" s="174">
        <f t="shared" si="97"/>
        <v>125</v>
      </c>
      <c r="IA47" s="174">
        <f t="shared" si="98"/>
        <v>115</v>
      </c>
      <c r="IB47" s="174">
        <f t="shared" si="99"/>
        <v>150</v>
      </c>
      <c r="IC47" s="174">
        <f t="shared" si="100"/>
        <v>130</v>
      </c>
      <c r="ID47" s="174">
        <f t="shared" si="101"/>
        <v>105</v>
      </c>
      <c r="IE47" s="174">
        <f t="shared" si="102"/>
        <v>120</v>
      </c>
      <c r="IF47" s="174">
        <f t="shared" si="103"/>
        <v>105</v>
      </c>
      <c r="IG47" s="174">
        <f t="shared" si="104"/>
        <v>85</v>
      </c>
      <c r="IH47" s="174">
        <f t="shared" si="105"/>
        <v>75</v>
      </c>
      <c r="II47" s="174">
        <f t="shared" si="106"/>
        <v>55</v>
      </c>
      <c r="IJ47" s="174">
        <v>47</v>
      </c>
      <c r="IR47" s="174">
        <v>1750000</v>
      </c>
      <c r="IS47" s="174">
        <v>45</v>
      </c>
    </row>
    <row r="48" spans="1:253" ht="13.35" customHeight="1" x14ac:dyDescent="0.2">
      <c r="A48" s="183">
        <f t="shared" si="107"/>
        <v>47</v>
      </c>
      <c r="B48" s="183">
        <v>0</v>
      </c>
      <c r="C48" s="183">
        <f t="shared" si="108"/>
        <v>47</v>
      </c>
      <c r="E48" s="189" t="s">
        <v>1114</v>
      </c>
      <c r="F48" s="190" t="s">
        <v>988</v>
      </c>
      <c r="G48" s="190" t="s">
        <v>988</v>
      </c>
      <c r="H48" s="190" t="s">
        <v>988</v>
      </c>
      <c r="I48" s="190" t="s">
        <v>988</v>
      </c>
      <c r="J48" s="190" t="s">
        <v>988</v>
      </c>
      <c r="K48" s="190" t="s">
        <v>988</v>
      </c>
      <c r="L48" s="190" t="s">
        <v>988</v>
      </c>
      <c r="M48" s="190" t="s">
        <v>988</v>
      </c>
      <c r="N48" s="190" t="s">
        <v>988</v>
      </c>
      <c r="O48" s="190" t="s">
        <v>988</v>
      </c>
      <c r="P48" s="190" t="s">
        <v>988</v>
      </c>
      <c r="Q48" s="190" t="s">
        <v>988</v>
      </c>
      <c r="R48" s="190" t="s">
        <v>988</v>
      </c>
      <c r="S48" s="190" t="s">
        <v>988</v>
      </c>
      <c r="T48" s="190" t="s">
        <v>988</v>
      </c>
      <c r="U48" s="190" t="s">
        <v>988</v>
      </c>
      <c r="V48" s="190" t="s">
        <v>988</v>
      </c>
      <c r="W48" s="190" t="s">
        <v>988</v>
      </c>
      <c r="X48" s="190" t="s">
        <v>988</v>
      </c>
      <c r="Y48" s="190" t="s">
        <v>988</v>
      </c>
      <c r="Z48" s="190"/>
      <c r="AA48" s="190" t="s">
        <v>988</v>
      </c>
      <c r="AB48" s="190" t="s">
        <v>988</v>
      </c>
      <c r="AC48" s="190" t="s">
        <v>988</v>
      </c>
      <c r="AD48" s="190" t="s">
        <v>988</v>
      </c>
      <c r="AE48" s="190"/>
      <c r="AF48" s="190" t="s">
        <v>988</v>
      </c>
      <c r="AG48" s="190" t="s">
        <v>988</v>
      </c>
      <c r="AH48" s="190" t="s">
        <v>988</v>
      </c>
      <c r="AI48" s="190"/>
      <c r="AJ48" s="190" t="s">
        <v>988</v>
      </c>
      <c r="AK48" s="190" t="s">
        <v>988</v>
      </c>
      <c r="AL48" s="190" t="s">
        <v>988</v>
      </c>
      <c r="AM48" s="190" t="s">
        <v>988</v>
      </c>
      <c r="AN48" s="190"/>
      <c r="AO48" s="190" t="s">
        <v>988</v>
      </c>
      <c r="AP48" s="190" t="s">
        <v>988</v>
      </c>
      <c r="AQ48" s="190" t="s">
        <v>988</v>
      </c>
      <c r="AR48" s="190"/>
      <c r="AS48" s="190" t="s">
        <v>988</v>
      </c>
      <c r="AT48" s="190" t="s">
        <v>988</v>
      </c>
      <c r="AU48" s="190" t="s">
        <v>988</v>
      </c>
      <c r="AV48" s="190" t="s">
        <v>988</v>
      </c>
      <c r="AW48" s="190" t="s">
        <v>988</v>
      </c>
      <c r="AX48" s="190" t="s">
        <v>988</v>
      </c>
      <c r="AY48" s="190" t="s">
        <v>988</v>
      </c>
      <c r="AZ48" s="190" t="s">
        <v>988</v>
      </c>
      <c r="BA48" s="190" t="s">
        <v>988</v>
      </c>
      <c r="BB48" s="190" t="s">
        <v>988</v>
      </c>
      <c r="BC48" s="190" t="s">
        <v>988</v>
      </c>
      <c r="BD48" s="190" t="s">
        <v>988</v>
      </c>
      <c r="BE48" s="190" t="s">
        <v>988</v>
      </c>
      <c r="BF48" s="190" t="s">
        <v>988</v>
      </c>
      <c r="BG48" s="190" t="s">
        <v>988</v>
      </c>
      <c r="BH48" s="190" t="s">
        <v>988</v>
      </c>
      <c r="BI48" s="190" t="s">
        <v>988</v>
      </c>
      <c r="BJ48" s="190" t="s">
        <v>988</v>
      </c>
      <c r="BK48" s="190" t="s">
        <v>988</v>
      </c>
      <c r="BL48" s="190" t="s">
        <v>988</v>
      </c>
      <c r="BM48" s="190" t="s">
        <v>988</v>
      </c>
      <c r="BN48" s="190" t="s">
        <v>988</v>
      </c>
      <c r="BO48" s="190" t="s">
        <v>988</v>
      </c>
      <c r="BP48" s="190" t="s">
        <v>988</v>
      </c>
      <c r="BQ48" s="190" t="s">
        <v>988</v>
      </c>
      <c r="BR48" s="190" t="s">
        <v>988</v>
      </c>
      <c r="BS48" s="190" t="s">
        <v>988</v>
      </c>
      <c r="BT48" s="190" t="s">
        <v>988</v>
      </c>
      <c r="BU48" s="190" t="s">
        <v>988</v>
      </c>
      <c r="BV48" s="190" t="s">
        <v>988</v>
      </c>
      <c r="BW48" s="190" t="s">
        <v>988</v>
      </c>
      <c r="BX48" s="190" t="s">
        <v>988</v>
      </c>
      <c r="BY48" s="190" t="s">
        <v>988</v>
      </c>
      <c r="BZ48" s="190" t="s">
        <v>988</v>
      </c>
      <c r="CA48" s="190" t="s">
        <v>988</v>
      </c>
      <c r="CB48" s="190" t="s">
        <v>988</v>
      </c>
      <c r="CC48" s="190" t="s">
        <v>988</v>
      </c>
      <c r="CD48" s="190" t="s">
        <v>988</v>
      </c>
      <c r="CE48" s="190" t="s">
        <v>988</v>
      </c>
      <c r="CF48" s="190" t="s">
        <v>988</v>
      </c>
      <c r="CG48" s="190" t="s">
        <v>988</v>
      </c>
      <c r="CH48" s="190" t="s">
        <v>988</v>
      </c>
      <c r="CI48" s="190" t="s">
        <v>988</v>
      </c>
      <c r="CJ48" s="190" t="s">
        <v>988</v>
      </c>
      <c r="CK48" s="190" t="s">
        <v>988</v>
      </c>
      <c r="CL48" s="190" t="s">
        <v>988</v>
      </c>
      <c r="CM48" s="190" t="s">
        <v>988</v>
      </c>
      <c r="CN48" s="190" t="s">
        <v>988</v>
      </c>
      <c r="CO48" s="190" t="s">
        <v>988</v>
      </c>
      <c r="CP48" s="190" t="s">
        <v>988</v>
      </c>
      <c r="CQ48" s="190" t="s">
        <v>988</v>
      </c>
      <c r="CR48" s="190"/>
      <c r="CS48" s="190" t="s">
        <v>988</v>
      </c>
      <c r="CT48" s="190" t="s">
        <v>988</v>
      </c>
      <c r="CU48" s="190" t="s">
        <v>988</v>
      </c>
      <c r="CV48" s="190" t="s">
        <v>988</v>
      </c>
      <c r="CW48" s="190"/>
      <c r="CX48" s="190" t="s">
        <v>988</v>
      </c>
      <c r="CY48" s="190" t="s">
        <v>988</v>
      </c>
      <c r="CZ48" s="190" t="s">
        <v>988</v>
      </c>
      <c r="DA48" s="190" t="s">
        <v>988</v>
      </c>
      <c r="DB48" s="190" t="s">
        <v>988</v>
      </c>
      <c r="DC48" s="190" t="s">
        <v>988</v>
      </c>
      <c r="DD48" s="190" t="s">
        <v>988</v>
      </c>
      <c r="DE48" s="190"/>
      <c r="DF48" s="174">
        <v>47</v>
      </c>
      <c r="DH48" s="268"/>
      <c r="DI48" s="268"/>
      <c r="DJ48" s="268"/>
      <c r="DK48" s="268"/>
      <c r="DL48" s="268"/>
      <c r="DM48" s="268"/>
      <c r="DN48" s="268"/>
      <c r="DO48" s="268"/>
      <c r="DP48" s="268"/>
      <c r="DQ48" s="268"/>
      <c r="DR48" s="268"/>
      <c r="DS48" s="268"/>
      <c r="DT48" s="268"/>
      <c r="DU48" s="268"/>
      <c r="DV48" s="268"/>
      <c r="DW48" s="268"/>
      <c r="DX48" s="268"/>
      <c r="DY48" s="268"/>
      <c r="DZ48" s="268"/>
      <c r="EA48" s="268"/>
      <c r="EB48" s="268">
        <f t="shared" si="110"/>
        <v>0</v>
      </c>
      <c r="GG48" s="202"/>
      <c r="HB48" s="197">
        <v>45</v>
      </c>
      <c r="HC48" s="183">
        <v>43</v>
      </c>
      <c r="HD48" s="183">
        <v>68</v>
      </c>
      <c r="HE48" s="194">
        <v>25</v>
      </c>
      <c r="HF48" s="183">
        <v>110</v>
      </c>
      <c r="HG48" s="193">
        <f t="shared" si="3"/>
        <v>105</v>
      </c>
      <c r="HH48" s="192" t="e">
        <f t="shared" si="109"/>
        <v>#REF!</v>
      </c>
      <c r="HI48" s="198">
        <v>25</v>
      </c>
      <c r="HJ48" s="185">
        <v>112.5</v>
      </c>
      <c r="HK48" s="174">
        <v>46</v>
      </c>
      <c r="HL48" s="174">
        <f t="shared" si="83"/>
        <v>254</v>
      </c>
      <c r="HM48" s="174">
        <f t="shared" si="84"/>
        <v>244</v>
      </c>
      <c r="HN48" s="174">
        <f t="shared" si="85"/>
        <v>208</v>
      </c>
      <c r="HO48" s="174">
        <f t="shared" si="86"/>
        <v>182</v>
      </c>
      <c r="HP48" s="174">
        <f t="shared" si="87"/>
        <v>166</v>
      </c>
      <c r="HQ48" s="174">
        <f t="shared" si="88"/>
        <v>156</v>
      </c>
      <c r="HR48" s="174">
        <f t="shared" si="89"/>
        <v>156</v>
      </c>
      <c r="HS48" s="174">
        <f t="shared" si="90"/>
        <v>146</v>
      </c>
      <c r="HT48" s="174">
        <f t="shared" si="91"/>
        <v>136</v>
      </c>
      <c r="HU48" s="174">
        <f t="shared" si="92"/>
        <v>198</v>
      </c>
      <c r="HV48" s="174">
        <f t="shared" si="93"/>
        <v>156</v>
      </c>
      <c r="HW48" s="174">
        <f t="shared" si="94"/>
        <v>146</v>
      </c>
      <c r="HX48" s="174">
        <f t="shared" si="95"/>
        <v>162</v>
      </c>
      <c r="HY48" s="174">
        <f t="shared" si="96"/>
        <v>136</v>
      </c>
      <c r="HZ48" s="174">
        <f t="shared" si="97"/>
        <v>126</v>
      </c>
      <c r="IA48" s="174">
        <f t="shared" si="98"/>
        <v>116</v>
      </c>
      <c r="IB48" s="174">
        <f t="shared" si="99"/>
        <v>152</v>
      </c>
      <c r="IC48" s="174">
        <f t="shared" si="100"/>
        <v>132</v>
      </c>
      <c r="ID48" s="174">
        <f t="shared" si="101"/>
        <v>106</v>
      </c>
      <c r="IE48" s="174">
        <f t="shared" si="102"/>
        <v>122</v>
      </c>
      <c r="IF48" s="174">
        <f t="shared" si="103"/>
        <v>106</v>
      </c>
      <c r="IG48" s="174">
        <f t="shared" si="104"/>
        <v>86</v>
      </c>
      <c r="IH48" s="174">
        <f t="shared" si="105"/>
        <v>76</v>
      </c>
      <c r="II48" s="174">
        <f t="shared" si="106"/>
        <v>56</v>
      </c>
      <c r="IJ48" s="174">
        <v>48</v>
      </c>
      <c r="IR48" s="174">
        <v>1800000</v>
      </c>
      <c r="IS48" s="174">
        <v>46</v>
      </c>
    </row>
    <row r="49" spans="1:255" ht="13.35" customHeight="1" x14ac:dyDescent="0.2">
      <c r="A49" s="183">
        <f t="shared" si="107"/>
        <v>48</v>
      </c>
      <c r="B49" s="183">
        <v>0</v>
      </c>
      <c r="C49" s="183">
        <f t="shared" si="108"/>
        <v>48</v>
      </c>
      <c r="E49" s="189" t="s">
        <v>700</v>
      </c>
      <c r="F49" s="190" t="s">
        <v>1028</v>
      </c>
      <c r="G49" s="190" t="s">
        <v>1028</v>
      </c>
      <c r="H49" s="190" t="s">
        <v>1028</v>
      </c>
      <c r="I49" s="190" t="s">
        <v>1028</v>
      </c>
      <c r="J49" s="190" t="s">
        <v>1028</v>
      </c>
      <c r="K49" s="190" t="s">
        <v>1028</v>
      </c>
      <c r="L49" s="190" t="s">
        <v>1028</v>
      </c>
      <c r="M49" s="190" t="s">
        <v>1028</v>
      </c>
      <c r="N49" s="190" t="s">
        <v>1028</v>
      </c>
      <c r="O49" s="190" t="s">
        <v>1028</v>
      </c>
      <c r="P49" s="190" t="s">
        <v>1028</v>
      </c>
      <c r="Q49" s="190" t="s">
        <v>1028</v>
      </c>
      <c r="R49" s="190" t="s">
        <v>1028</v>
      </c>
      <c r="S49" s="190" t="s">
        <v>1028</v>
      </c>
      <c r="T49" s="190" t="s">
        <v>1028</v>
      </c>
      <c r="U49" s="190" t="s">
        <v>1028</v>
      </c>
      <c r="V49" s="190" t="s">
        <v>1028</v>
      </c>
      <c r="W49" s="190" t="s">
        <v>1028</v>
      </c>
      <c r="X49" s="190" t="s">
        <v>1028</v>
      </c>
      <c r="Y49" s="190" t="s">
        <v>1028</v>
      </c>
      <c r="Z49" s="190"/>
      <c r="AA49" s="190" t="s">
        <v>1028</v>
      </c>
      <c r="AB49" s="190" t="s">
        <v>1028</v>
      </c>
      <c r="AC49" s="190" t="s">
        <v>1028</v>
      </c>
      <c r="AD49" s="190" t="s">
        <v>1028</v>
      </c>
      <c r="AE49" s="190"/>
      <c r="AF49" s="190" t="s">
        <v>1028</v>
      </c>
      <c r="AG49" s="190" t="s">
        <v>1028</v>
      </c>
      <c r="AH49" s="190" t="s">
        <v>1028</v>
      </c>
      <c r="AI49" s="190"/>
      <c r="AJ49" s="190" t="s">
        <v>1028</v>
      </c>
      <c r="AK49" s="190" t="s">
        <v>1028</v>
      </c>
      <c r="AL49" s="190" t="s">
        <v>1028</v>
      </c>
      <c r="AM49" s="190" t="s">
        <v>1028</v>
      </c>
      <c r="AN49" s="190"/>
      <c r="AO49" s="190" t="s">
        <v>1028</v>
      </c>
      <c r="AP49" s="190" t="s">
        <v>1028</v>
      </c>
      <c r="AQ49" s="190" t="s">
        <v>1028</v>
      </c>
      <c r="AR49" s="190"/>
      <c r="AS49" s="190" t="s">
        <v>1028</v>
      </c>
      <c r="AT49" s="190" t="s">
        <v>1028</v>
      </c>
      <c r="AU49" s="190" t="s">
        <v>1028</v>
      </c>
      <c r="AV49" s="190" t="s">
        <v>1028</v>
      </c>
      <c r="AW49" s="190" t="s">
        <v>1028</v>
      </c>
      <c r="AX49" s="190" t="s">
        <v>1028</v>
      </c>
      <c r="AY49" s="190" t="s">
        <v>1028</v>
      </c>
      <c r="AZ49" s="190" t="s">
        <v>1028</v>
      </c>
      <c r="BA49" s="190" t="s">
        <v>1028</v>
      </c>
      <c r="BB49" s="190" t="s">
        <v>1028</v>
      </c>
      <c r="BC49" s="190" t="s">
        <v>1028</v>
      </c>
      <c r="BD49" s="190" t="s">
        <v>1028</v>
      </c>
      <c r="BE49" s="190" t="s">
        <v>1028</v>
      </c>
      <c r="BF49" s="190" t="s">
        <v>1028</v>
      </c>
      <c r="BG49" s="190" t="s">
        <v>1028</v>
      </c>
      <c r="BH49" s="190" t="s">
        <v>1028</v>
      </c>
      <c r="BI49" s="190" t="s">
        <v>1028</v>
      </c>
      <c r="BJ49" s="190" t="s">
        <v>1028</v>
      </c>
      <c r="BK49" s="190" t="s">
        <v>1028</v>
      </c>
      <c r="BL49" s="190" t="s">
        <v>1028</v>
      </c>
      <c r="BM49" s="190" t="s">
        <v>1028</v>
      </c>
      <c r="BN49" s="190" t="s">
        <v>1028</v>
      </c>
      <c r="BO49" s="190" t="s">
        <v>1028</v>
      </c>
      <c r="BP49" s="190" t="s">
        <v>1028</v>
      </c>
      <c r="BQ49" s="190" t="s">
        <v>1028</v>
      </c>
      <c r="BR49" s="190" t="s">
        <v>1028</v>
      </c>
      <c r="BS49" s="190" t="s">
        <v>1028</v>
      </c>
      <c r="BT49" s="190" t="s">
        <v>1028</v>
      </c>
      <c r="BU49" s="190" t="s">
        <v>1028</v>
      </c>
      <c r="BV49" s="190" t="s">
        <v>1028</v>
      </c>
      <c r="BW49" s="190" t="s">
        <v>1028</v>
      </c>
      <c r="BX49" s="190" t="s">
        <v>1028</v>
      </c>
      <c r="BY49" s="190" t="s">
        <v>1028</v>
      </c>
      <c r="BZ49" s="190" t="s">
        <v>1028</v>
      </c>
      <c r="CA49" s="190" t="s">
        <v>1028</v>
      </c>
      <c r="CB49" s="190" t="s">
        <v>1028</v>
      </c>
      <c r="CC49" s="190" t="s">
        <v>1028</v>
      </c>
      <c r="CD49" s="190" t="s">
        <v>1028</v>
      </c>
      <c r="CE49" s="190" t="s">
        <v>1028</v>
      </c>
      <c r="CF49" s="190" t="s">
        <v>1028</v>
      </c>
      <c r="CG49" s="190" t="s">
        <v>1028</v>
      </c>
      <c r="CH49" s="190" t="s">
        <v>1028</v>
      </c>
      <c r="CI49" s="190" t="s">
        <v>1028</v>
      </c>
      <c r="CJ49" s="190" t="s">
        <v>1028</v>
      </c>
      <c r="CK49" s="190" t="s">
        <v>1028</v>
      </c>
      <c r="CL49" s="190" t="s">
        <v>1028</v>
      </c>
      <c r="CM49" s="190" t="s">
        <v>1028</v>
      </c>
      <c r="CN49" s="190" t="s">
        <v>1028</v>
      </c>
      <c r="CO49" s="190" t="s">
        <v>1028</v>
      </c>
      <c r="CP49" s="190" t="s">
        <v>1028</v>
      </c>
      <c r="CQ49" s="190" t="s">
        <v>1028</v>
      </c>
      <c r="CR49" s="190"/>
      <c r="CS49" s="190" t="s">
        <v>1028</v>
      </c>
      <c r="CT49" s="190" t="s">
        <v>1028</v>
      </c>
      <c r="CU49" s="190" t="s">
        <v>1028</v>
      </c>
      <c r="CV49" s="190" t="s">
        <v>1028</v>
      </c>
      <c r="CW49" s="190"/>
      <c r="CX49" s="190" t="s">
        <v>1028</v>
      </c>
      <c r="CY49" s="190" t="s">
        <v>1028</v>
      </c>
      <c r="CZ49" s="190" t="s">
        <v>1028</v>
      </c>
      <c r="DA49" s="190" t="s">
        <v>1028</v>
      </c>
      <c r="DB49" s="190" t="s">
        <v>1006</v>
      </c>
      <c r="DC49" s="190" t="s">
        <v>1028</v>
      </c>
      <c r="DD49" s="190" t="s">
        <v>1028</v>
      </c>
      <c r="DE49" s="190"/>
      <c r="DF49" s="174">
        <v>48</v>
      </c>
      <c r="DH49" s="268"/>
      <c r="DI49" s="268"/>
      <c r="DJ49" s="268"/>
      <c r="DK49" s="268"/>
      <c r="DL49" s="268"/>
      <c r="DM49" s="268"/>
      <c r="DN49" s="268"/>
      <c r="DO49" s="268"/>
      <c r="DP49" s="268"/>
      <c r="DQ49" s="268"/>
      <c r="DR49" s="268"/>
      <c r="DS49" s="268"/>
      <c r="DT49" s="268"/>
      <c r="DU49" s="268"/>
      <c r="DV49" s="268"/>
      <c r="DW49" s="268"/>
      <c r="DX49" s="268"/>
      <c r="DY49" s="268"/>
      <c r="DZ49" s="268"/>
      <c r="EA49" s="268"/>
      <c r="EB49" s="268">
        <f t="shared" si="110"/>
        <v>0</v>
      </c>
      <c r="EN49" s="202"/>
      <c r="EO49" s="202" t="s">
        <v>1115</v>
      </c>
      <c r="EP49" s="202" t="s">
        <v>1115</v>
      </c>
      <c r="EQ49" s="202" t="s">
        <v>1115</v>
      </c>
      <c r="ER49" s="202" t="s">
        <v>1115</v>
      </c>
      <c r="ES49" s="202" t="s">
        <v>1115</v>
      </c>
      <c r="ET49" s="202" t="s">
        <v>1115</v>
      </c>
      <c r="EU49" s="202" t="s">
        <v>1115</v>
      </c>
      <c r="EV49" s="202" t="s">
        <v>1115</v>
      </c>
      <c r="EW49" s="202" t="s">
        <v>1115</v>
      </c>
      <c r="EX49" s="202" t="s">
        <v>1115</v>
      </c>
      <c r="EY49" s="202" t="s">
        <v>1115</v>
      </c>
      <c r="EZ49" s="202" t="s">
        <v>1115</v>
      </c>
      <c r="FA49" s="202" t="s">
        <v>1115</v>
      </c>
      <c r="FB49" s="202" t="s">
        <v>1115</v>
      </c>
      <c r="FC49" s="202" t="s">
        <v>1115</v>
      </c>
      <c r="FD49" s="202" t="s">
        <v>1115</v>
      </c>
      <c r="FE49" s="202" t="s">
        <v>1115</v>
      </c>
      <c r="FF49" s="202" t="s">
        <v>1115</v>
      </c>
      <c r="FG49" s="202" t="s">
        <v>1115</v>
      </c>
      <c r="FH49" s="202" t="s">
        <v>1115</v>
      </c>
      <c r="FI49" s="202" t="s">
        <v>1115</v>
      </c>
      <c r="FJ49" s="202" t="s">
        <v>1115</v>
      </c>
      <c r="FK49" s="202" t="s">
        <v>1115</v>
      </c>
      <c r="FL49" s="202" t="s">
        <v>1115</v>
      </c>
      <c r="FM49" s="202" t="s">
        <v>1115</v>
      </c>
      <c r="FN49" s="202" t="s">
        <v>1115</v>
      </c>
      <c r="FO49" s="202" t="s">
        <v>1115</v>
      </c>
      <c r="FP49" s="202" t="s">
        <v>1115</v>
      </c>
      <c r="FQ49" s="202" t="s">
        <v>1115</v>
      </c>
      <c r="FR49" s="202" t="s">
        <v>1115</v>
      </c>
      <c r="FS49" s="202" t="s">
        <v>1115</v>
      </c>
      <c r="FT49" s="202" t="s">
        <v>1115</v>
      </c>
      <c r="FU49" s="202" t="s">
        <v>1115</v>
      </c>
      <c r="FV49" s="202" t="s">
        <v>1115</v>
      </c>
      <c r="FW49" s="202" t="s">
        <v>1115</v>
      </c>
      <c r="FX49" s="202" t="s">
        <v>1115</v>
      </c>
      <c r="FY49" s="202" t="s">
        <v>1115</v>
      </c>
      <c r="FZ49" s="202" t="s">
        <v>1115</v>
      </c>
      <c r="GA49" s="202"/>
      <c r="GB49" s="202"/>
      <c r="GC49" s="202"/>
      <c r="GD49" s="202"/>
      <c r="GE49" s="202"/>
      <c r="GF49" s="202"/>
      <c r="GG49" s="202"/>
      <c r="GH49" s="202"/>
      <c r="GI49" s="202"/>
      <c r="GJ49" s="202"/>
      <c r="GK49" s="202"/>
      <c r="GL49" s="202"/>
      <c r="GM49" s="202"/>
      <c r="GN49" s="202"/>
      <c r="GO49" s="202"/>
      <c r="GP49" s="202"/>
      <c r="GQ49" s="202"/>
      <c r="GR49" s="202"/>
      <c r="GS49" s="202"/>
      <c r="GT49" s="202"/>
      <c r="GU49" s="202"/>
      <c r="GV49" s="202"/>
      <c r="GW49" s="202"/>
      <c r="GX49" s="202"/>
      <c r="GY49" s="202"/>
      <c r="GZ49" s="202"/>
      <c r="HB49" s="197">
        <v>46</v>
      </c>
      <c r="HC49" s="183">
        <v>43</v>
      </c>
      <c r="HD49" s="183">
        <v>68</v>
      </c>
      <c r="HE49" s="194">
        <v>25</v>
      </c>
      <c r="HF49" s="183">
        <v>111</v>
      </c>
      <c r="HG49" s="193">
        <f t="shared" si="3"/>
        <v>106</v>
      </c>
      <c r="HH49" s="192" t="e">
        <f t="shared" si="109"/>
        <v>#REF!</v>
      </c>
      <c r="HI49" s="198">
        <v>25</v>
      </c>
      <c r="HJ49" s="185">
        <v>113</v>
      </c>
      <c r="HK49" s="174">
        <v>47</v>
      </c>
      <c r="HL49" s="174">
        <f t="shared" si="83"/>
        <v>258</v>
      </c>
      <c r="HM49" s="174">
        <f t="shared" si="84"/>
        <v>248</v>
      </c>
      <c r="HN49" s="174">
        <f t="shared" si="85"/>
        <v>211</v>
      </c>
      <c r="HO49" s="174">
        <f t="shared" si="86"/>
        <v>184</v>
      </c>
      <c r="HP49" s="174">
        <f t="shared" si="87"/>
        <v>167</v>
      </c>
      <c r="HQ49" s="174">
        <f t="shared" si="88"/>
        <v>157</v>
      </c>
      <c r="HR49" s="174">
        <f t="shared" si="89"/>
        <v>157</v>
      </c>
      <c r="HS49" s="174">
        <f t="shared" si="90"/>
        <v>147</v>
      </c>
      <c r="HT49" s="174">
        <f t="shared" si="91"/>
        <v>137</v>
      </c>
      <c r="HU49" s="174">
        <f t="shared" si="92"/>
        <v>201</v>
      </c>
      <c r="HV49" s="174">
        <f t="shared" si="93"/>
        <v>157</v>
      </c>
      <c r="HW49" s="174">
        <f t="shared" si="94"/>
        <v>147</v>
      </c>
      <c r="HX49" s="174">
        <f t="shared" si="95"/>
        <v>164</v>
      </c>
      <c r="HY49" s="174">
        <f t="shared" si="96"/>
        <v>137</v>
      </c>
      <c r="HZ49" s="174">
        <f t="shared" si="97"/>
        <v>127</v>
      </c>
      <c r="IA49" s="174">
        <f t="shared" si="98"/>
        <v>117</v>
      </c>
      <c r="IB49" s="174">
        <f t="shared" si="99"/>
        <v>154</v>
      </c>
      <c r="IC49" s="174">
        <f t="shared" si="100"/>
        <v>134</v>
      </c>
      <c r="ID49" s="174">
        <f t="shared" si="101"/>
        <v>107</v>
      </c>
      <c r="IE49" s="174">
        <f t="shared" si="102"/>
        <v>124</v>
      </c>
      <c r="IF49" s="174">
        <f t="shared" si="103"/>
        <v>107</v>
      </c>
      <c r="IG49" s="174">
        <f t="shared" si="104"/>
        <v>87</v>
      </c>
      <c r="IH49" s="174">
        <f t="shared" si="105"/>
        <v>77</v>
      </c>
      <c r="II49" s="174">
        <f t="shared" si="106"/>
        <v>57</v>
      </c>
      <c r="IJ49" s="174">
        <v>49</v>
      </c>
      <c r="IR49" s="174">
        <v>1850000</v>
      </c>
      <c r="IS49" s="174">
        <v>47</v>
      </c>
    </row>
    <row r="50" spans="1:255" ht="13.35" customHeight="1" x14ac:dyDescent="0.2">
      <c r="A50" s="183">
        <f t="shared" si="107"/>
        <v>49</v>
      </c>
      <c r="B50" s="183">
        <v>0</v>
      </c>
      <c r="C50" s="183">
        <f t="shared" si="108"/>
        <v>49</v>
      </c>
      <c r="E50" s="189" t="s">
        <v>714</v>
      </c>
      <c r="F50" s="190" t="s">
        <v>992</v>
      </c>
      <c r="G50" s="190" t="s">
        <v>996</v>
      </c>
      <c r="H50" s="190" t="s">
        <v>999</v>
      </c>
      <c r="I50" s="190" t="s">
        <v>995</v>
      </c>
      <c r="J50" s="190" t="s">
        <v>991</v>
      </c>
      <c r="K50" s="190" t="s">
        <v>1009</v>
      </c>
      <c r="L50" s="190" t="s">
        <v>1009</v>
      </c>
      <c r="M50" s="190" t="s">
        <v>1009</v>
      </c>
      <c r="N50" s="190" t="s">
        <v>1005</v>
      </c>
      <c r="O50" s="190" t="s">
        <v>1005</v>
      </c>
      <c r="P50" s="190" t="s">
        <v>1009</v>
      </c>
      <c r="Q50" s="190" t="s">
        <v>1009</v>
      </c>
      <c r="R50" s="190" t="s">
        <v>991</v>
      </c>
      <c r="S50" s="190" t="s">
        <v>1009</v>
      </c>
      <c r="T50" s="190" t="s">
        <v>1001</v>
      </c>
      <c r="U50" s="190" t="s">
        <v>1005</v>
      </c>
      <c r="V50" s="190" t="s">
        <v>1006</v>
      </c>
      <c r="W50" s="190" t="s">
        <v>993</v>
      </c>
      <c r="X50" s="190" t="s">
        <v>992</v>
      </c>
      <c r="Y50" s="190" t="s">
        <v>994</v>
      </c>
      <c r="Z50" s="190"/>
      <c r="AA50" s="190" t="s">
        <v>1005</v>
      </c>
      <c r="AB50" s="190" t="s">
        <v>1005</v>
      </c>
      <c r="AC50" s="190" t="s">
        <v>1001</v>
      </c>
      <c r="AD50" s="190" t="s">
        <v>995</v>
      </c>
      <c r="AE50" s="190"/>
      <c r="AF50" s="190" t="s">
        <v>1009</v>
      </c>
      <c r="AG50" s="190" t="s">
        <v>1009</v>
      </c>
      <c r="AH50" s="190" t="s">
        <v>1006</v>
      </c>
      <c r="AI50" s="190"/>
      <c r="AJ50" s="190" t="s">
        <v>1005</v>
      </c>
      <c r="AK50" s="190" t="s">
        <v>992</v>
      </c>
      <c r="AL50" s="190" t="s">
        <v>1047</v>
      </c>
      <c r="AM50" s="190" t="s">
        <v>1009</v>
      </c>
      <c r="AN50" s="190"/>
      <c r="AO50" s="190" t="s">
        <v>1009</v>
      </c>
      <c r="AP50" s="190" t="s">
        <v>1009</v>
      </c>
      <c r="AQ50" s="190" t="s">
        <v>992</v>
      </c>
      <c r="AR50" s="190"/>
      <c r="AS50" s="190" t="s">
        <v>1009</v>
      </c>
      <c r="AT50" s="190" t="s">
        <v>1009</v>
      </c>
      <c r="AU50" s="190" t="s">
        <v>1009</v>
      </c>
      <c r="AV50" s="190" t="s">
        <v>1009</v>
      </c>
      <c r="AW50" s="190" t="s">
        <v>1009</v>
      </c>
      <c r="AX50" s="190" t="s">
        <v>1009</v>
      </c>
      <c r="AY50" s="190" t="s">
        <v>1009</v>
      </c>
      <c r="AZ50" s="190" t="s">
        <v>1009</v>
      </c>
      <c r="BA50" s="190" t="s">
        <v>1009</v>
      </c>
      <c r="BB50" s="190" t="s">
        <v>1009</v>
      </c>
      <c r="BC50" s="190" t="s">
        <v>1009</v>
      </c>
      <c r="BD50" s="190" t="s">
        <v>1009</v>
      </c>
      <c r="BE50" s="190" t="s">
        <v>1009</v>
      </c>
      <c r="BF50" s="190" t="s">
        <v>1009</v>
      </c>
      <c r="BG50" s="190" t="s">
        <v>1009</v>
      </c>
      <c r="BH50" s="190" t="s">
        <v>1009</v>
      </c>
      <c r="BI50" s="190" t="s">
        <v>1009</v>
      </c>
      <c r="BJ50" s="190" t="s">
        <v>1009</v>
      </c>
      <c r="BK50" s="190" t="s">
        <v>1009</v>
      </c>
      <c r="BL50" s="190" t="s">
        <v>1009</v>
      </c>
      <c r="BM50" s="190" t="s">
        <v>1009</v>
      </c>
      <c r="BN50" s="190" t="s">
        <v>1009</v>
      </c>
      <c r="BO50" s="190" t="s">
        <v>1009</v>
      </c>
      <c r="BP50" s="190" t="s">
        <v>1009</v>
      </c>
      <c r="BQ50" s="190" t="s">
        <v>1009</v>
      </c>
      <c r="BR50" s="190" t="s">
        <v>1009</v>
      </c>
      <c r="BS50" s="190" t="s">
        <v>1009</v>
      </c>
      <c r="BT50" s="190" t="s">
        <v>1009</v>
      </c>
      <c r="BU50" s="190" t="s">
        <v>1009</v>
      </c>
      <c r="BV50" s="190" t="s">
        <v>1009</v>
      </c>
      <c r="BW50" s="190" t="s">
        <v>1009</v>
      </c>
      <c r="BX50" s="190" t="s">
        <v>1009</v>
      </c>
      <c r="BY50" s="190" t="s">
        <v>1009</v>
      </c>
      <c r="BZ50" s="190" t="s">
        <v>1009</v>
      </c>
      <c r="CA50" s="190" t="s">
        <v>1009</v>
      </c>
      <c r="CB50" s="190" t="s">
        <v>1009</v>
      </c>
      <c r="CC50" s="190" t="s">
        <v>1009</v>
      </c>
      <c r="CD50" s="190" t="s">
        <v>1009</v>
      </c>
      <c r="CE50" s="190" t="s">
        <v>1009</v>
      </c>
      <c r="CF50" s="190" t="s">
        <v>1009</v>
      </c>
      <c r="CG50" s="190" t="s">
        <v>1009</v>
      </c>
      <c r="CH50" s="190" t="s">
        <v>1009</v>
      </c>
      <c r="CI50" s="190" t="s">
        <v>1009</v>
      </c>
      <c r="CJ50" s="190" t="s">
        <v>1009</v>
      </c>
      <c r="CK50" s="190" t="s">
        <v>1009</v>
      </c>
      <c r="CL50" s="190" t="s">
        <v>1009</v>
      </c>
      <c r="CM50" s="190" t="s">
        <v>1009</v>
      </c>
      <c r="CN50" s="190" t="s">
        <v>1009</v>
      </c>
      <c r="CO50" s="190" t="s">
        <v>1009</v>
      </c>
      <c r="CP50" s="190" t="s">
        <v>1009</v>
      </c>
      <c r="CQ50" s="190" t="s">
        <v>1009</v>
      </c>
      <c r="CR50" s="190"/>
      <c r="CS50" s="190" t="s">
        <v>1005</v>
      </c>
      <c r="CT50" s="190" t="s">
        <v>1001</v>
      </c>
      <c r="CU50" s="190" t="s">
        <v>995</v>
      </c>
      <c r="CV50" s="190" t="s">
        <v>999</v>
      </c>
      <c r="CW50" s="190"/>
      <c r="CX50" s="190" t="s">
        <v>1005</v>
      </c>
      <c r="CY50" s="190" t="s">
        <v>1009</v>
      </c>
      <c r="CZ50" s="190" t="s">
        <v>1005</v>
      </c>
      <c r="DA50" s="190" t="s">
        <v>1005</v>
      </c>
      <c r="DB50" s="190" t="s">
        <v>1009</v>
      </c>
      <c r="DC50" s="190" t="s">
        <v>1009</v>
      </c>
      <c r="DD50" s="190" t="s">
        <v>1009</v>
      </c>
      <c r="DE50" s="190"/>
      <c r="DF50" s="174">
        <v>49</v>
      </c>
      <c r="DH50" s="268"/>
      <c r="DI50" s="268"/>
      <c r="DJ50" s="268"/>
      <c r="DK50" s="268"/>
      <c r="DL50" s="268"/>
      <c r="DM50" s="268"/>
      <c r="DN50" s="268"/>
      <c r="DO50" s="268"/>
      <c r="DP50" s="268"/>
      <c r="DQ50" s="268"/>
      <c r="DR50" s="268"/>
      <c r="DS50" s="268"/>
      <c r="DT50" s="268"/>
      <c r="DU50" s="268"/>
      <c r="DV50" s="268"/>
      <c r="DW50" s="268"/>
      <c r="DX50" s="268"/>
      <c r="DY50" s="268"/>
      <c r="DZ50" s="268"/>
      <c r="EA50" s="268"/>
      <c r="EB50" s="268">
        <f t="shared" si="110"/>
        <v>0</v>
      </c>
      <c r="EN50" s="174" t="s">
        <v>1116</v>
      </c>
      <c r="EO50" s="268" t="s">
        <v>4193</v>
      </c>
      <c r="EP50" s="268" t="s">
        <v>916</v>
      </c>
      <c r="EQ50" s="268" t="s">
        <v>916</v>
      </c>
      <c r="ER50" s="268" t="s">
        <v>895</v>
      </c>
      <c r="ES50" s="268" t="s">
        <v>895</v>
      </c>
      <c r="ET50" s="268" t="s">
        <v>895</v>
      </c>
      <c r="EU50" s="268" t="s">
        <v>4055</v>
      </c>
      <c r="EV50" s="268" t="s">
        <v>4055</v>
      </c>
      <c r="EW50" s="268" t="s">
        <v>4055</v>
      </c>
      <c r="EX50" s="268" t="s">
        <v>4055</v>
      </c>
      <c r="EY50" s="268" t="s">
        <v>4055</v>
      </c>
      <c r="EZ50" s="268" t="s">
        <v>4055</v>
      </c>
      <c r="FA50" s="268" t="s">
        <v>4184</v>
      </c>
      <c r="FB50" s="268" t="s">
        <v>4184</v>
      </c>
      <c r="FC50" s="268" t="s">
        <v>4184</v>
      </c>
      <c r="FD50" s="268" t="s">
        <v>905</v>
      </c>
      <c r="FE50" s="268" t="s">
        <v>905</v>
      </c>
      <c r="FF50" s="268" t="s">
        <v>905</v>
      </c>
      <c r="FG50" s="268" t="s">
        <v>4186</v>
      </c>
      <c r="FH50" s="268" t="s">
        <v>4186</v>
      </c>
      <c r="FI50" s="268" t="s">
        <v>4186</v>
      </c>
      <c r="FJ50" s="268" t="s">
        <v>4186</v>
      </c>
      <c r="FK50" s="268" t="s">
        <v>4186</v>
      </c>
      <c r="FL50" s="268" t="s">
        <v>4186</v>
      </c>
      <c r="FM50" s="268" t="s">
        <v>4186</v>
      </c>
      <c r="FN50" s="268" t="s">
        <v>4186</v>
      </c>
      <c r="FO50" s="268" t="s">
        <v>4186</v>
      </c>
      <c r="FP50" s="268" t="s">
        <v>4186</v>
      </c>
      <c r="FQ50" s="268" t="s">
        <v>4186</v>
      </c>
      <c r="FR50" s="268" t="s">
        <v>4186</v>
      </c>
      <c r="FS50" s="268" t="s">
        <v>4186</v>
      </c>
      <c r="FT50" s="268" t="s">
        <v>4186</v>
      </c>
      <c r="FU50" s="268" t="s">
        <v>4186</v>
      </c>
      <c r="FV50" s="268" t="s">
        <v>4186</v>
      </c>
      <c r="FW50" s="268" t="s">
        <v>4186</v>
      </c>
      <c r="FX50" s="268" t="s">
        <v>4186</v>
      </c>
      <c r="FY50" s="268" t="s">
        <v>1013</v>
      </c>
      <c r="FZ50" s="268" t="s">
        <v>1013</v>
      </c>
      <c r="GA50" s="185"/>
      <c r="GB50" s="185"/>
      <c r="GC50" s="185"/>
      <c r="GE50" s="185"/>
      <c r="GF50" s="185"/>
      <c r="GG50" s="185"/>
      <c r="GH50" s="185"/>
      <c r="GI50" s="185"/>
      <c r="GJ50" s="185"/>
      <c r="GK50" s="185"/>
      <c r="GL50" s="185"/>
      <c r="GM50" s="185"/>
      <c r="GN50" s="185"/>
      <c r="GO50" s="185"/>
      <c r="GP50" s="185"/>
      <c r="GQ50" s="185"/>
      <c r="HB50" s="197">
        <v>47</v>
      </c>
      <c r="HC50" s="183">
        <v>44</v>
      </c>
      <c r="HD50" s="183">
        <v>69</v>
      </c>
      <c r="HE50" s="194">
        <v>25</v>
      </c>
      <c r="HF50" s="183">
        <v>112</v>
      </c>
      <c r="HG50" s="193">
        <f t="shared" si="3"/>
        <v>107</v>
      </c>
      <c r="HH50" s="192" t="e">
        <f t="shared" si="109"/>
        <v>#REF!</v>
      </c>
      <c r="HI50" s="198">
        <v>25</v>
      </c>
      <c r="HJ50" s="185">
        <v>113.5</v>
      </c>
      <c r="HK50" s="174">
        <v>48</v>
      </c>
      <c r="HL50" s="174">
        <f t="shared" si="83"/>
        <v>262</v>
      </c>
      <c r="HM50" s="174">
        <f t="shared" si="84"/>
        <v>252</v>
      </c>
      <c r="HN50" s="174">
        <f t="shared" si="85"/>
        <v>214</v>
      </c>
      <c r="HO50" s="174">
        <f t="shared" si="86"/>
        <v>186</v>
      </c>
      <c r="HP50" s="174">
        <f t="shared" si="87"/>
        <v>168</v>
      </c>
      <c r="HQ50" s="174">
        <f t="shared" si="88"/>
        <v>158</v>
      </c>
      <c r="HR50" s="174">
        <f t="shared" si="89"/>
        <v>158</v>
      </c>
      <c r="HS50" s="174">
        <f t="shared" si="90"/>
        <v>148</v>
      </c>
      <c r="HT50" s="174">
        <f t="shared" si="91"/>
        <v>138</v>
      </c>
      <c r="HU50" s="174">
        <f t="shared" si="92"/>
        <v>204</v>
      </c>
      <c r="HV50" s="174">
        <f t="shared" si="93"/>
        <v>158</v>
      </c>
      <c r="HW50" s="174">
        <f t="shared" si="94"/>
        <v>148</v>
      </c>
      <c r="HX50" s="174">
        <f t="shared" si="95"/>
        <v>166</v>
      </c>
      <c r="HY50" s="174">
        <f t="shared" si="96"/>
        <v>138</v>
      </c>
      <c r="HZ50" s="174">
        <f t="shared" si="97"/>
        <v>128</v>
      </c>
      <c r="IA50" s="174">
        <f t="shared" si="98"/>
        <v>118</v>
      </c>
      <c r="IB50" s="174">
        <f t="shared" si="99"/>
        <v>156</v>
      </c>
      <c r="IC50" s="174">
        <f t="shared" si="100"/>
        <v>136</v>
      </c>
      <c r="ID50" s="174">
        <f t="shared" si="101"/>
        <v>108</v>
      </c>
      <c r="IE50" s="174">
        <f t="shared" si="102"/>
        <v>126</v>
      </c>
      <c r="IF50" s="174">
        <f t="shared" si="103"/>
        <v>108</v>
      </c>
      <c r="IG50" s="174">
        <f t="shared" si="104"/>
        <v>88</v>
      </c>
      <c r="IH50" s="174">
        <f t="shared" si="105"/>
        <v>78</v>
      </c>
      <c r="II50" s="174">
        <f t="shared" si="106"/>
        <v>58</v>
      </c>
      <c r="IJ50" s="174">
        <v>50</v>
      </c>
      <c r="IR50" s="174">
        <v>1900000</v>
      </c>
      <c r="IS50" s="174">
        <v>48</v>
      </c>
    </row>
    <row r="51" spans="1:255" ht="13.35" customHeight="1" x14ac:dyDescent="0.2">
      <c r="A51" s="183">
        <f t="shared" si="107"/>
        <v>50</v>
      </c>
      <c r="B51" s="183">
        <v>0</v>
      </c>
      <c r="C51" s="183">
        <f t="shared" si="108"/>
        <v>50</v>
      </c>
      <c r="E51" s="189" t="s">
        <v>720</v>
      </c>
      <c r="F51" s="190" t="s">
        <v>993</v>
      </c>
      <c r="G51" s="190" t="s">
        <v>1010</v>
      </c>
      <c r="H51" s="190" t="s">
        <v>991</v>
      </c>
      <c r="I51" s="190" t="s">
        <v>1005</v>
      </c>
      <c r="J51" s="190" t="s">
        <v>1001</v>
      </c>
      <c r="K51" s="190" t="s">
        <v>987</v>
      </c>
      <c r="L51" s="190" t="s">
        <v>987</v>
      </c>
      <c r="M51" s="190" t="s">
        <v>1002</v>
      </c>
      <c r="N51" s="190" t="s">
        <v>1002</v>
      </c>
      <c r="O51" s="190" t="s">
        <v>1002</v>
      </c>
      <c r="P51" s="190" t="s">
        <v>1002</v>
      </c>
      <c r="Q51" s="190" t="s">
        <v>987</v>
      </c>
      <c r="R51" s="190" t="s">
        <v>987</v>
      </c>
      <c r="S51" s="190" t="s">
        <v>987</v>
      </c>
      <c r="T51" s="190" t="s">
        <v>1006</v>
      </c>
      <c r="U51" s="190" t="s">
        <v>991</v>
      </c>
      <c r="V51" s="190" t="s">
        <v>1004</v>
      </c>
      <c r="W51" s="190" t="s">
        <v>1007</v>
      </c>
      <c r="X51" s="190" t="s">
        <v>1007</v>
      </c>
      <c r="Y51" s="190" t="s">
        <v>1006</v>
      </c>
      <c r="Z51" s="190"/>
      <c r="AA51" s="190" t="s">
        <v>987</v>
      </c>
      <c r="AB51" s="190" t="s">
        <v>987</v>
      </c>
      <c r="AC51" s="190" t="s">
        <v>1005</v>
      </c>
      <c r="AD51" s="190" t="s">
        <v>1047</v>
      </c>
      <c r="AE51" s="190"/>
      <c r="AF51" s="190" t="s">
        <v>987</v>
      </c>
      <c r="AG51" s="190" t="s">
        <v>987</v>
      </c>
      <c r="AH51" s="190" t="s">
        <v>1007</v>
      </c>
      <c r="AI51" s="190"/>
      <c r="AJ51" s="190" t="s">
        <v>991</v>
      </c>
      <c r="AK51" s="190" t="s">
        <v>987</v>
      </c>
      <c r="AL51" s="190" t="s">
        <v>1002</v>
      </c>
      <c r="AM51" s="190" t="s">
        <v>987</v>
      </c>
      <c r="AN51" s="190"/>
      <c r="AO51" s="190" t="s">
        <v>987</v>
      </c>
      <c r="AP51" s="190" t="s">
        <v>987</v>
      </c>
      <c r="AQ51" s="190" t="s">
        <v>1007</v>
      </c>
      <c r="AR51" s="190"/>
      <c r="AS51" s="190" t="s">
        <v>1003</v>
      </c>
      <c r="AT51" s="190" t="s">
        <v>1003</v>
      </c>
      <c r="AU51" s="190" t="s">
        <v>1003</v>
      </c>
      <c r="AV51" s="190" t="s">
        <v>1003</v>
      </c>
      <c r="AW51" s="190" t="s">
        <v>1003</v>
      </c>
      <c r="AX51" s="190" t="s">
        <v>1003</v>
      </c>
      <c r="AY51" s="190" t="s">
        <v>1003</v>
      </c>
      <c r="AZ51" s="190" t="s">
        <v>1003</v>
      </c>
      <c r="BA51" s="190" t="s">
        <v>1003</v>
      </c>
      <c r="BB51" s="190" t="s">
        <v>1003</v>
      </c>
      <c r="BC51" s="190" t="s">
        <v>1003</v>
      </c>
      <c r="BD51" s="190" t="s">
        <v>1003</v>
      </c>
      <c r="BE51" s="190" t="s">
        <v>1003</v>
      </c>
      <c r="BF51" s="190" t="s">
        <v>1003</v>
      </c>
      <c r="BG51" s="190" t="s">
        <v>1003</v>
      </c>
      <c r="BH51" s="190" t="s">
        <v>1003</v>
      </c>
      <c r="BI51" s="190" t="s">
        <v>1003</v>
      </c>
      <c r="BJ51" s="190" t="s">
        <v>1003</v>
      </c>
      <c r="BK51" s="190" t="s">
        <v>1003</v>
      </c>
      <c r="BL51" s="190" t="s">
        <v>1003</v>
      </c>
      <c r="BM51" s="190" t="s">
        <v>1003</v>
      </c>
      <c r="BN51" s="190" t="s">
        <v>1003</v>
      </c>
      <c r="BO51" s="190" t="s">
        <v>1003</v>
      </c>
      <c r="BP51" s="190" t="s">
        <v>1003</v>
      </c>
      <c r="BQ51" s="190" t="s">
        <v>1003</v>
      </c>
      <c r="BR51" s="190" t="s">
        <v>1003</v>
      </c>
      <c r="BS51" s="190" t="s">
        <v>1003</v>
      </c>
      <c r="BT51" s="190" t="s">
        <v>1003</v>
      </c>
      <c r="BU51" s="190" t="s">
        <v>1003</v>
      </c>
      <c r="BV51" s="190" t="s">
        <v>1003</v>
      </c>
      <c r="BW51" s="190" t="s">
        <v>1003</v>
      </c>
      <c r="BX51" s="190" t="s">
        <v>1003</v>
      </c>
      <c r="BY51" s="190" t="s">
        <v>1003</v>
      </c>
      <c r="BZ51" s="190" t="s">
        <v>1003</v>
      </c>
      <c r="CA51" s="190" t="s">
        <v>1003</v>
      </c>
      <c r="CB51" s="190" t="s">
        <v>1003</v>
      </c>
      <c r="CC51" s="190" t="s">
        <v>1003</v>
      </c>
      <c r="CD51" s="190" t="s">
        <v>1003</v>
      </c>
      <c r="CE51" s="190" t="s">
        <v>1003</v>
      </c>
      <c r="CF51" s="190" t="s">
        <v>1003</v>
      </c>
      <c r="CG51" s="190" t="s">
        <v>1003</v>
      </c>
      <c r="CH51" s="190" t="s">
        <v>1003</v>
      </c>
      <c r="CI51" s="190" t="s">
        <v>1003</v>
      </c>
      <c r="CJ51" s="190" t="s">
        <v>1003</v>
      </c>
      <c r="CK51" s="190" t="s">
        <v>1003</v>
      </c>
      <c r="CL51" s="190" t="s">
        <v>1003</v>
      </c>
      <c r="CM51" s="190" t="s">
        <v>1003</v>
      </c>
      <c r="CN51" s="190" t="s">
        <v>1003</v>
      </c>
      <c r="CO51" s="190" t="s">
        <v>1003</v>
      </c>
      <c r="CP51" s="190" t="s">
        <v>1003</v>
      </c>
      <c r="CQ51" s="190" t="s">
        <v>1003</v>
      </c>
      <c r="CR51" s="190"/>
      <c r="CS51" s="190" t="s">
        <v>993</v>
      </c>
      <c r="CT51" s="190" t="s">
        <v>1010</v>
      </c>
      <c r="CU51" s="190" t="s">
        <v>1001</v>
      </c>
      <c r="CV51" s="190" t="s">
        <v>1010</v>
      </c>
      <c r="CW51" s="190"/>
      <c r="CX51" s="190" t="s">
        <v>1010</v>
      </c>
      <c r="CY51" s="190" t="s">
        <v>1002</v>
      </c>
      <c r="CZ51" s="190" t="s">
        <v>1002</v>
      </c>
      <c r="DA51" s="190" t="s">
        <v>993</v>
      </c>
      <c r="DB51" s="190" t="s">
        <v>1005</v>
      </c>
      <c r="DC51" s="190" t="s">
        <v>1002</v>
      </c>
      <c r="DD51" s="190" t="s">
        <v>1004</v>
      </c>
      <c r="DE51" s="190"/>
      <c r="DF51" s="174">
        <v>50</v>
      </c>
      <c r="DH51" s="268"/>
      <c r="DI51" s="268"/>
      <c r="DJ51" s="268"/>
      <c r="DK51" s="268"/>
      <c r="DL51" s="268"/>
      <c r="DM51" s="268"/>
      <c r="DN51" s="268"/>
      <c r="DO51" s="268"/>
      <c r="DP51" s="268"/>
      <c r="DQ51" s="268"/>
      <c r="DR51" s="268"/>
      <c r="DS51" s="268"/>
      <c r="DT51" s="268"/>
      <c r="DU51" s="268"/>
      <c r="DV51" s="268"/>
      <c r="DW51" s="268"/>
      <c r="DX51" s="268"/>
      <c r="DY51" s="268"/>
      <c r="DZ51" s="268"/>
      <c r="EA51" s="268"/>
      <c r="EB51" s="268">
        <f t="shared" si="110"/>
        <v>0</v>
      </c>
      <c r="EO51" s="268" t="s">
        <v>4193</v>
      </c>
      <c r="EP51" s="268" t="s">
        <v>977</v>
      </c>
      <c r="EQ51" s="268" t="s">
        <v>976</v>
      </c>
      <c r="ER51" s="268" t="s">
        <v>4360</v>
      </c>
      <c r="ES51" s="268" t="s">
        <v>4359</v>
      </c>
      <c r="ET51" s="268" t="s">
        <v>4364</v>
      </c>
      <c r="EU51" s="268" t="s">
        <v>4181</v>
      </c>
      <c r="EV51" s="268" t="s">
        <v>899</v>
      </c>
      <c r="EW51" s="268" t="s">
        <v>4172</v>
      </c>
      <c r="EX51" s="268" t="s">
        <v>4171</v>
      </c>
      <c r="EY51" s="268" t="s">
        <v>4180</v>
      </c>
      <c r="EZ51" s="268" t="s">
        <v>4173</v>
      </c>
      <c r="FA51" s="268" t="s">
        <v>4183</v>
      </c>
      <c r="FB51" s="268" t="s">
        <v>4349</v>
      </c>
      <c r="FC51" s="268" t="s">
        <v>4185</v>
      </c>
      <c r="FD51" s="268" t="s">
        <v>4361</v>
      </c>
      <c r="FE51" s="268" t="s">
        <v>4393</v>
      </c>
      <c r="FF51" s="268" t="s">
        <v>4371</v>
      </c>
      <c r="FG51" s="268" t="s">
        <v>4269</v>
      </c>
      <c r="FH51" s="268" t="s">
        <v>4197</v>
      </c>
      <c r="FI51" s="268" t="s">
        <v>4187</v>
      </c>
      <c r="FJ51" s="268" t="s">
        <v>4188</v>
      </c>
      <c r="FK51" s="268" t="s">
        <v>4195</v>
      </c>
      <c r="FL51" s="268" t="s">
        <v>4198</v>
      </c>
      <c r="FM51" s="268" t="s">
        <v>4199</v>
      </c>
      <c r="FN51" s="268" t="s">
        <v>4200</v>
      </c>
      <c r="FO51" s="268" t="s">
        <v>4189</v>
      </c>
      <c r="FP51" s="268" t="s">
        <v>4388</v>
      </c>
      <c r="FQ51" s="268" t="s">
        <v>4190</v>
      </c>
      <c r="FR51" s="268" t="s">
        <v>4201</v>
      </c>
      <c r="FS51" s="268" t="s">
        <v>4191</v>
      </c>
      <c r="FT51" s="268" t="s">
        <v>4202</v>
      </c>
      <c r="FU51" s="268" t="s">
        <v>4192</v>
      </c>
      <c r="FV51" s="268" t="s">
        <v>4203</v>
      </c>
      <c r="FW51" s="268" t="s">
        <v>4377</v>
      </c>
      <c r="FX51" s="268" t="s">
        <v>4204</v>
      </c>
      <c r="FY51" s="268" t="s">
        <v>913</v>
      </c>
      <c r="FZ51" s="268" t="s">
        <v>1058</v>
      </c>
      <c r="GA51" s="185"/>
      <c r="GB51" s="185"/>
      <c r="GC51" s="185"/>
      <c r="GE51" s="185"/>
      <c r="GF51" s="185"/>
      <c r="GG51" s="185"/>
      <c r="GH51" s="185"/>
      <c r="GI51" s="185"/>
      <c r="GJ51" s="185"/>
      <c r="GK51" s="185"/>
      <c r="GL51" s="185"/>
      <c r="GM51" s="185"/>
      <c r="GN51" s="185"/>
      <c r="GO51" s="185"/>
      <c r="GP51" s="185"/>
      <c r="GQ51" s="185"/>
      <c r="HA51" s="174">
        <v>1</v>
      </c>
      <c r="HB51" s="197">
        <v>48</v>
      </c>
      <c r="HC51" s="183">
        <v>44</v>
      </c>
      <c r="HD51" s="183">
        <v>69</v>
      </c>
      <c r="HE51" s="194">
        <v>25</v>
      </c>
      <c r="HF51" s="183">
        <v>113</v>
      </c>
      <c r="HG51" s="193">
        <f t="shared" si="3"/>
        <v>108</v>
      </c>
      <c r="HH51" s="192" t="e">
        <f t="shared" si="109"/>
        <v>#REF!</v>
      </c>
      <c r="HI51" s="198">
        <v>25</v>
      </c>
      <c r="HJ51" s="185">
        <v>114</v>
      </c>
      <c r="HK51" s="174">
        <v>49</v>
      </c>
      <c r="HL51" s="174">
        <f t="shared" si="83"/>
        <v>266</v>
      </c>
      <c r="HM51" s="174">
        <f t="shared" si="84"/>
        <v>256</v>
      </c>
      <c r="HN51" s="174">
        <f t="shared" si="85"/>
        <v>217</v>
      </c>
      <c r="HO51" s="174">
        <f t="shared" si="86"/>
        <v>188</v>
      </c>
      <c r="HP51" s="174">
        <f t="shared" si="87"/>
        <v>169</v>
      </c>
      <c r="HQ51" s="174">
        <f t="shared" si="88"/>
        <v>159</v>
      </c>
      <c r="HR51" s="174">
        <f t="shared" si="89"/>
        <v>159</v>
      </c>
      <c r="HS51" s="174">
        <f t="shared" si="90"/>
        <v>149</v>
      </c>
      <c r="HT51" s="174">
        <f t="shared" si="91"/>
        <v>139</v>
      </c>
      <c r="HU51" s="174">
        <f t="shared" si="92"/>
        <v>207</v>
      </c>
      <c r="HV51" s="174">
        <f t="shared" si="93"/>
        <v>159</v>
      </c>
      <c r="HW51" s="174">
        <f t="shared" si="94"/>
        <v>149</v>
      </c>
      <c r="HX51" s="174">
        <f t="shared" si="95"/>
        <v>168</v>
      </c>
      <c r="HY51" s="174">
        <f t="shared" si="96"/>
        <v>139</v>
      </c>
      <c r="HZ51" s="174">
        <f t="shared" si="97"/>
        <v>129</v>
      </c>
      <c r="IA51" s="174">
        <f t="shared" si="98"/>
        <v>119</v>
      </c>
      <c r="IB51" s="174">
        <f t="shared" si="99"/>
        <v>158</v>
      </c>
      <c r="IC51" s="174">
        <f t="shared" si="100"/>
        <v>138</v>
      </c>
      <c r="ID51" s="174">
        <f t="shared" si="101"/>
        <v>109</v>
      </c>
      <c r="IE51" s="174">
        <f t="shared" si="102"/>
        <v>128</v>
      </c>
      <c r="IF51" s="174">
        <f t="shared" si="103"/>
        <v>109</v>
      </c>
      <c r="IG51" s="174">
        <f t="shared" si="104"/>
        <v>89</v>
      </c>
      <c r="IH51" s="174">
        <f t="shared" si="105"/>
        <v>79</v>
      </c>
      <c r="II51" s="174">
        <f t="shared" si="106"/>
        <v>59</v>
      </c>
      <c r="IJ51" s="174">
        <v>51</v>
      </c>
      <c r="IR51" s="174">
        <v>1950000</v>
      </c>
      <c r="IS51" s="174">
        <v>49</v>
      </c>
    </row>
    <row r="52" spans="1:255" ht="13.35" customHeight="1" x14ac:dyDescent="0.2">
      <c r="A52" s="183">
        <f t="shared" si="107"/>
        <v>51</v>
      </c>
      <c r="B52" s="183">
        <v>0</v>
      </c>
      <c r="C52" s="183">
        <f t="shared" si="108"/>
        <v>51</v>
      </c>
      <c r="E52" s="189" t="s">
        <v>726</v>
      </c>
      <c r="F52" s="190" t="s">
        <v>991</v>
      </c>
      <c r="G52" s="190" t="s">
        <v>1051</v>
      </c>
      <c r="H52" s="190" t="s">
        <v>1051</v>
      </c>
      <c r="I52" s="190" t="s">
        <v>1002</v>
      </c>
      <c r="J52" s="190" t="s">
        <v>1001</v>
      </c>
      <c r="K52" s="190" t="s">
        <v>1042</v>
      </c>
      <c r="L52" s="190" t="s">
        <v>1042</v>
      </c>
      <c r="M52" s="190" t="s">
        <v>1003</v>
      </c>
      <c r="N52" s="190" t="s">
        <v>1003</v>
      </c>
      <c r="O52" s="190" t="s">
        <v>988</v>
      </c>
      <c r="P52" s="190" t="s">
        <v>988</v>
      </c>
      <c r="Q52" s="190" t="s">
        <v>1042</v>
      </c>
      <c r="R52" s="190" t="s">
        <v>1042</v>
      </c>
      <c r="S52" s="190" t="s">
        <v>1042</v>
      </c>
      <c r="T52" s="190" t="s">
        <v>1005</v>
      </c>
      <c r="U52" s="190" t="s">
        <v>1051</v>
      </c>
      <c r="V52" s="190" t="s">
        <v>988</v>
      </c>
      <c r="W52" s="190" t="s">
        <v>1002</v>
      </c>
      <c r="X52" s="190" t="s">
        <v>1002</v>
      </c>
      <c r="Y52" s="190" t="s">
        <v>1005</v>
      </c>
      <c r="Z52" s="190"/>
      <c r="AA52" s="190" t="s">
        <v>1042</v>
      </c>
      <c r="AB52" s="190" t="s">
        <v>1042</v>
      </c>
      <c r="AC52" s="190" t="s">
        <v>1002</v>
      </c>
      <c r="AD52" s="190" t="s">
        <v>1008</v>
      </c>
      <c r="AE52" s="190"/>
      <c r="AF52" s="190" t="s">
        <v>1042</v>
      </c>
      <c r="AG52" s="190" t="s">
        <v>1042</v>
      </c>
      <c r="AH52" s="190" t="s">
        <v>1002</v>
      </c>
      <c r="AI52" s="190"/>
      <c r="AJ52" s="190" t="s">
        <v>1007</v>
      </c>
      <c r="AK52" s="190" t="s">
        <v>1042</v>
      </c>
      <c r="AL52" s="190" t="s">
        <v>1030</v>
      </c>
      <c r="AM52" s="190" t="s">
        <v>1042</v>
      </c>
      <c r="AN52" s="190"/>
      <c r="AO52" s="190" t="s">
        <v>1042</v>
      </c>
      <c r="AP52" s="190" t="s">
        <v>1042</v>
      </c>
      <c r="AQ52" s="190" t="s">
        <v>1119</v>
      </c>
      <c r="AR52" s="190"/>
      <c r="AS52" s="190" t="s">
        <v>930</v>
      </c>
      <c r="AT52" s="190" t="s">
        <v>930</v>
      </c>
      <c r="AU52" s="190" t="s">
        <v>930</v>
      </c>
      <c r="AV52" s="190" t="s">
        <v>930</v>
      </c>
      <c r="AW52" s="190" t="s">
        <v>930</v>
      </c>
      <c r="AX52" s="190" t="s">
        <v>930</v>
      </c>
      <c r="AY52" s="190" t="s">
        <v>930</v>
      </c>
      <c r="AZ52" s="190" t="s">
        <v>930</v>
      </c>
      <c r="BA52" s="190" t="s">
        <v>930</v>
      </c>
      <c r="BB52" s="190" t="s">
        <v>930</v>
      </c>
      <c r="BC52" s="190" t="s">
        <v>930</v>
      </c>
      <c r="BD52" s="190" t="s">
        <v>930</v>
      </c>
      <c r="BE52" s="190" t="s">
        <v>930</v>
      </c>
      <c r="BF52" s="190" t="s">
        <v>930</v>
      </c>
      <c r="BG52" s="190" t="s">
        <v>930</v>
      </c>
      <c r="BH52" s="190" t="s">
        <v>930</v>
      </c>
      <c r="BI52" s="190" t="s">
        <v>930</v>
      </c>
      <c r="BJ52" s="190" t="s">
        <v>930</v>
      </c>
      <c r="BK52" s="190" t="s">
        <v>930</v>
      </c>
      <c r="BL52" s="190" t="s">
        <v>930</v>
      </c>
      <c r="BM52" s="190" t="s">
        <v>930</v>
      </c>
      <c r="BN52" s="190" t="s">
        <v>930</v>
      </c>
      <c r="BO52" s="190" t="s">
        <v>930</v>
      </c>
      <c r="BP52" s="190" t="s">
        <v>930</v>
      </c>
      <c r="BQ52" s="190" t="s">
        <v>930</v>
      </c>
      <c r="BR52" s="190" t="s">
        <v>930</v>
      </c>
      <c r="BS52" s="190" t="s">
        <v>930</v>
      </c>
      <c r="BT52" s="190" t="s">
        <v>930</v>
      </c>
      <c r="BU52" s="190" t="s">
        <v>930</v>
      </c>
      <c r="BV52" s="190" t="s">
        <v>930</v>
      </c>
      <c r="BW52" s="190" t="s">
        <v>930</v>
      </c>
      <c r="BX52" s="190" t="s">
        <v>930</v>
      </c>
      <c r="BY52" s="190" t="s">
        <v>930</v>
      </c>
      <c r="BZ52" s="190" t="s">
        <v>930</v>
      </c>
      <c r="CA52" s="190" t="s">
        <v>930</v>
      </c>
      <c r="CB52" s="190" t="s">
        <v>930</v>
      </c>
      <c r="CC52" s="190" t="s">
        <v>930</v>
      </c>
      <c r="CD52" s="190" t="s">
        <v>930</v>
      </c>
      <c r="CE52" s="190" t="s">
        <v>930</v>
      </c>
      <c r="CF52" s="190" t="s">
        <v>930</v>
      </c>
      <c r="CG52" s="190" t="s">
        <v>930</v>
      </c>
      <c r="CH52" s="190" t="s">
        <v>930</v>
      </c>
      <c r="CI52" s="190" t="s">
        <v>930</v>
      </c>
      <c r="CJ52" s="190" t="s">
        <v>930</v>
      </c>
      <c r="CK52" s="190" t="s">
        <v>930</v>
      </c>
      <c r="CL52" s="190" t="s">
        <v>930</v>
      </c>
      <c r="CM52" s="190" t="s">
        <v>930</v>
      </c>
      <c r="CN52" s="190" t="s">
        <v>930</v>
      </c>
      <c r="CO52" s="190" t="s">
        <v>930</v>
      </c>
      <c r="CP52" s="190" t="s">
        <v>930</v>
      </c>
      <c r="CQ52" s="190" t="s">
        <v>930</v>
      </c>
      <c r="CR52" s="190"/>
      <c r="CS52" s="190" t="s">
        <v>991</v>
      </c>
      <c r="CT52" s="190" t="s">
        <v>1007</v>
      </c>
      <c r="CU52" s="190" t="s">
        <v>1051</v>
      </c>
      <c r="CV52" s="190" t="s">
        <v>1010</v>
      </c>
      <c r="CW52" s="190"/>
      <c r="CX52" s="190" t="s">
        <v>1007</v>
      </c>
      <c r="CY52" s="190" t="s">
        <v>1003</v>
      </c>
      <c r="CZ52" s="190" t="s">
        <v>1003</v>
      </c>
      <c r="DA52" s="190" t="s">
        <v>991</v>
      </c>
      <c r="DB52" s="190" t="s">
        <v>987</v>
      </c>
      <c r="DC52" s="190" t="s">
        <v>1003</v>
      </c>
      <c r="DD52" s="190" t="s">
        <v>1003</v>
      </c>
      <c r="DE52" s="190"/>
      <c r="DF52" s="174">
        <v>51</v>
      </c>
      <c r="DH52" s="268"/>
      <c r="DI52" s="268"/>
      <c r="DJ52" s="268"/>
      <c r="DK52" s="268"/>
      <c r="DL52" s="268"/>
      <c r="DM52" s="268"/>
      <c r="DN52" s="268"/>
      <c r="DO52" s="268"/>
      <c r="DP52" s="268"/>
      <c r="DQ52" s="268"/>
      <c r="DR52" s="268"/>
      <c r="DS52" s="268"/>
      <c r="DT52" s="268"/>
      <c r="DU52" s="268"/>
      <c r="DV52" s="268"/>
      <c r="DW52" s="268"/>
      <c r="DX52" s="268"/>
      <c r="DY52" s="268"/>
      <c r="DZ52" s="268"/>
      <c r="EA52" s="268"/>
      <c r="EB52" s="268">
        <f t="shared" si="110"/>
        <v>0</v>
      </c>
      <c r="EP52" s="232" t="s">
        <v>4069</v>
      </c>
      <c r="EQ52" s="232" t="s">
        <v>4069</v>
      </c>
      <c r="ER52" s="174" t="s">
        <v>486</v>
      </c>
      <c r="EU52" s="174" t="s">
        <v>452</v>
      </c>
      <c r="EY52" s="174" t="s">
        <v>4328</v>
      </c>
      <c r="FA52" s="174" t="s">
        <v>609</v>
      </c>
      <c r="FB52" s="174" t="s">
        <v>677</v>
      </c>
      <c r="FG52" s="174" t="s">
        <v>248</v>
      </c>
      <c r="FH52" s="174" t="s">
        <v>510</v>
      </c>
      <c r="FK52" s="174" t="s">
        <v>609</v>
      </c>
      <c r="FL52" s="174" t="s">
        <v>4287</v>
      </c>
      <c r="FM52" s="174" t="s">
        <v>1127</v>
      </c>
      <c r="FN52" s="174" t="s">
        <v>1699</v>
      </c>
      <c r="FO52" s="174" t="s">
        <v>536</v>
      </c>
      <c r="FP52" s="174" t="s">
        <v>1332</v>
      </c>
      <c r="FQ52" s="174" t="s">
        <v>1289</v>
      </c>
      <c r="FR52" s="174" t="s">
        <v>4291</v>
      </c>
      <c r="FT52" s="174" t="s">
        <v>1127</v>
      </c>
      <c r="FV52" s="174" t="s">
        <v>1139</v>
      </c>
      <c r="FW52" s="174" t="s">
        <v>540</v>
      </c>
      <c r="FX52" s="174" t="s">
        <v>1120</v>
      </c>
      <c r="FY52" s="174" t="s">
        <v>436</v>
      </c>
      <c r="GQ52" s="232"/>
      <c r="GR52" s="232"/>
      <c r="HA52" s="174">
        <v>2</v>
      </c>
      <c r="HB52" s="197">
        <v>49</v>
      </c>
      <c r="HC52" s="183">
        <v>45</v>
      </c>
      <c r="HD52" s="183">
        <v>70</v>
      </c>
      <c r="HE52" s="194">
        <v>25</v>
      </c>
      <c r="HF52" s="183">
        <v>114</v>
      </c>
      <c r="HG52" s="193">
        <f t="shared" si="3"/>
        <v>109</v>
      </c>
      <c r="HH52" s="192" t="e">
        <f t="shared" si="109"/>
        <v>#REF!</v>
      </c>
      <c r="HI52" s="198">
        <v>25</v>
      </c>
      <c r="HJ52" s="185">
        <v>114.5</v>
      </c>
      <c r="HK52" s="182">
        <v>50</v>
      </c>
      <c r="HL52" s="269">
        <f t="shared" si="83"/>
        <v>270</v>
      </c>
      <c r="HM52" s="269">
        <f t="shared" si="84"/>
        <v>260</v>
      </c>
      <c r="HN52" s="269">
        <f t="shared" si="85"/>
        <v>220</v>
      </c>
      <c r="HO52" s="269">
        <f t="shared" si="86"/>
        <v>190</v>
      </c>
      <c r="HP52" s="269">
        <f t="shared" si="87"/>
        <v>170</v>
      </c>
      <c r="HQ52" s="269">
        <f t="shared" si="88"/>
        <v>160</v>
      </c>
      <c r="HR52" s="269">
        <f t="shared" si="89"/>
        <v>160</v>
      </c>
      <c r="HS52" s="269">
        <f t="shared" si="90"/>
        <v>150</v>
      </c>
      <c r="HT52" s="269">
        <f t="shared" si="91"/>
        <v>140</v>
      </c>
      <c r="HU52" s="269">
        <f t="shared" si="92"/>
        <v>210</v>
      </c>
      <c r="HV52" s="269">
        <f t="shared" si="93"/>
        <v>160</v>
      </c>
      <c r="HW52" s="269">
        <f t="shared" si="94"/>
        <v>150</v>
      </c>
      <c r="HX52" s="269">
        <f t="shared" si="95"/>
        <v>170</v>
      </c>
      <c r="HY52" s="269">
        <f t="shared" si="96"/>
        <v>140</v>
      </c>
      <c r="HZ52" s="269">
        <f t="shared" si="97"/>
        <v>130</v>
      </c>
      <c r="IA52" s="269">
        <f t="shared" si="98"/>
        <v>120</v>
      </c>
      <c r="IB52" s="269">
        <f t="shared" si="99"/>
        <v>160</v>
      </c>
      <c r="IC52" s="269">
        <f t="shared" si="100"/>
        <v>140</v>
      </c>
      <c r="ID52" s="269">
        <f t="shared" si="101"/>
        <v>110</v>
      </c>
      <c r="IE52" s="269">
        <f t="shared" si="102"/>
        <v>130</v>
      </c>
      <c r="IF52" s="269">
        <f t="shared" si="103"/>
        <v>110</v>
      </c>
      <c r="IG52" s="269">
        <f t="shared" si="104"/>
        <v>90</v>
      </c>
      <c r="IH52" s="269">
        <f t="shared" si="105"/>
        <v>80</v>
      </c>
      <c r="II52" s="269">
        <f t="shared" si="106"/>
        <v>60</v>
      </c>
      <c r="IJ52" s="269">
        <v>52</v>
      </c>
      <c r="IR52" s="174">
        <v>2000000</v>
      </c>
      <c r="IS52" s="174">
        <v>50</v>
      </c>
    </row>
    <row r="53" spans="1:255" ht="13.35" customHeight="1" x14ac:dyDescent="0.2">
      <c r="A53" s="183">
        <f t="shared" si="107"/>
        <v>52</v>
      </c>
      <c r="B53" s="183">
        <v>0</v>
      </c>
      <c r="C53" s="183">
        <f t="shared" si="108"/>
        <v>52</v>
      </c>
      <c r="E53" s="189" t="s">
        <v>730</v>
      </c>
      <c r="F53" s="190" t="s">
        <v>1010</v>
      </c>
      <c r="G53" s="190" t="s">
        <v>1005</v>
      </c>
      <c r="H53" s="190" t="s">
        <v>1007</v>
      </c>
      <c r="I53" s="190" t="s">
        <v>988</v>
      </c>
      <c r="J53" s="190" t="s">
        <v>1005</v>
      </c>
      <c r="K53" s="190" t="s">
        <v>1042</v>
      </c>
      <c r="L53" s="190" t="s">
        <v>1042</v>
      </c>
      <c r="M53" s="190" t="s">
        <v>987</v>
      </c>
      <c r="N53" s="190" t="s">
        <v>987</v>
      </c>
      <c r="O53" s="190" t="s">
        <v>1030</v>
      </c>
      <c r="P53" s="190" t="s">
        <v>1030</v>
      </c>
      <c r="Q53" s="190" t="s">
        <v>1042</v>
      </c>
      <c r="R53" s="190" t="s">
        <v>1042</v>
      </c>
      <c r="S53" s="190" t="s">
        <v>1042</v>
      </c>
      <c r="T53" s="190" t="s">
        <v>1002</v>
      </c>
      <c r="U53" s="190" t="s">
        <v>1005</v>
      </c>
      <c r="V53" s="190" t="s">
        <v>988</v>
      </c>
      <c r="W53" s="190" t="s">
        <v>1003</v>
      </c>
      <c r="X53" s="190" t="s">
        <v>1003</v>
      </c>
      <c r="Y53" s="190" t="s">
        <v>1002</v>
      </c>
      <c r="Z53" s="190"/>
      <c r="AA53" s="190" t="s">
        <v>1042</v>
      </c>
      <c r="AB53" s="190" t="s">
        <v>1042</v>
      </c>
      <c r="AC53" s="190" t="s">
        <v>1002</v>
      </c>
      <c r="AD53" s="190" t="s">
        <v>1005</v>
      </c>
      <c r="AE53" s="190"/>
      <c r="AF53" s="190" t="s">
        <v>1042</v>
      </c>
      <c r="AG53" s="190" t="s">
        <v>1042</v>
      </c>
      <c r="AH53" s="190" t="s">
        <v>1003</v>
      </c>
      <c r="AI53" s="190"/>
      <c r="AJ53" s="190" t="s">
        <v>1029</v>
      </c>
      <c r="AK53" s="190" t="s">
        <v>1042</v>
      </c>
      <c r="AL53" s="190" t="s">
        <v>1042</v>
      </c>
      <c r="AM53" s="190" t="s">
        <v>1042</v>
      </c>
      <c r="AN53" s="190"/>
      <c r="AO53" s="190" t="s">
        <v>1042</v>
      </c>
      <c r="AP53" s="190" t="s">
        <v>1042</v>
      </c>
      <c r="AQ53" s="190" t="s">
        <v>1002</v>
      </c>
      <c r="AR53" s="190"/>
      <c r="AS53" s="190" t="s">
        <v>1031</v>
      </c>
      <c r="AT53" s="190" t="s">
        <v>1031</v>
      </c>
      <c r="AU53" s="190" t="s">
        <v>1031</v>
      </c>
      <c r="AV53" s="190" t="s">
        <v>1031</v>
      </c>
      <c r="AW53" s="190" t="s">
        <v>1031</v>
      </c>
      <c r="AX53" s="190" t="s">
        <v>1031</v>
      </c>
      <c r="AY53" s="190" t="s">
        <v>1031</v>
      </c>
      <c r="AZ53" s="190" t="s">
        <v>1031</v>
      </c>
      <c r="BA53" s="190" t="s">
        <v>1031</v>
      </c>
      <c r="BB53" s="190" t="s">
        <v>1031</v>
      </c>
      <c r="BC53" s="190" t="s">
        <v>1031</v>
      </c>
      <c r="BD53" s="190" t="s">
        <v>1031</v>
      </c>
      <c r="BE53" s="190" t="s">
        <v>1031</v>
      </c>
      <c r="BF53" s="190" t="s">
        <v>1031</v>
      </c>
      <c r="BG53" s="190" t="s">
        <v>1031</v>
      </c>
      <c r="BH53" s="190" t="s">
        <v>1031</v>
      </c>
      <c r="BI53" s="190" t="s">
        <v>1031</v>
      </c>
      <c r="BJ53" s="190" t="s">
        <v>1031</v>
      </c>
      <c r="BK53" s="190" t="s">
        <v>1031</v>
      </c>
      <c r="BL53" s="190" t="s">
        <v>1031</v>
      </c>
      <c r="BM53" s="190" t="s">
        <v>1031</v>
      </c>
      <c r="BN53" s="190" t="s">
        <v>1031</v>
      </c>
      <c r="BO53" s="190" t="s">
        <v>1031</v>
      </c>
      <c r="BP53" s="190" t="s">
        <v>1031</v>
      </c>
      <c r="BQ53" s="190" t="s">
        <v>1031</v>
      </c>
      <c r="BR53" s="190" t="s">
        <v>1031</v>
      </c>
      <c r="BS53" s="190" t="s">
        <v>1031</v>
      </c>
      <c r="BT53" s="190" t="s">
        <v>1031</v>
      </c>
      <c r="BU53" s="190" t="s">
        <v>1031</v>
      </c>
      <c r="BV53" s="190" t="s">
        <v>1031</v>
      </c>
      <c r="BW53" s="190" t="s">
        <v>1031</v>
      </c>
      <c r="BX53" s="190" t="s">
        <v>1031</v>
      </c>
      <c r="BY53" s="190" t="s">
        <v>1031</v>
      </c>
      <c r="BZ53" s="190" t="s">
        <v>1031</v>
      </c>
      <c r="CA53" s="190" t="s">
        <v>1031</v>
      </c>
      <c r="CB53" s="190" t="s">
        <v>1031</v>
      </c>
      <c r="CC53" s="190" t="s">
        <v>1031</v>
      </c>
      <c r="CD53" s="190" t="s">
        <v>1031</v>
      </c>
      <c r="CE53" s="190" t="s">
        <v>1031</v>
      </c>
      <c r="CF53" s="190" t="s">
        <v>1031</v>
      </c>
      <c r="CG53" s="190" t="s">
        <v>1031</v>
      </c>
      <c r="CH53" s="190" t="s">
        <v>1031</v>
      </c>
      <c r="CI53" s="190" t="s">
        <v>1031</v>
      </c>
      <c r="CJ53" s="190" t="s">
        <v>1031</v>
      </c>
      <c r="CK53" s="190" t="s">
        <v>1031</v>
      </c>
      <c r="CL53" s="190" t="s">
        <v>1031</v>
      </c>
      <c r="CM53" s="190" t="s">
        <v>1031</v>
      </c>
      <c r="CN53" s="190" t="s">
        <v>1031</v>
      </c>
      <c r="CO53" s="190" t="s">
        <v>1031</v>
      </c>
      <c r="CP53" s="190" t="s">
        <v>1031</v>
      </c>
      <c r="CQ53" s="190" t="s">
        <v>1031</v>
      </c>
      <c r="CR53" s="190"/>
      <c r="CS53" s="190" t="s">
        <v>1051</v>
      </c>
      <c r="CT53" s="190" t="s">
        <v>1007</v>
      </c>
      <c r="CU53" s="190" t="s">
        <v>1004</v>
      </c>
      <c r="CV53" s="190" t="s">
        <v>1006</v>
      </c>
      <c r="CW53" s="190"/>
      <c r="CX53" s="190" t="s">
        <v>1005</v>
      </c>
      <c r="CY53" s="190" t="s">
        <v>987</v>
      </c>
      <c r="CZ53" s="190" t="s">
        <v>987</v>
      </c>
      <c r="DA53" s="190" t="s">
        <v>1051</v>
      </c>
      <c r="DB53" s="190" t="s">
        <v>1031</v>
      </c>
      <c r="DC53" s="190" t="s">
        <v>987</v>
      </c>
      <c r="DD53" s="190" t="s">
        <v>1031</v>
      </c>
      <c r="DE53" s="190"/>
      <c r="DF53" s="174">
        <v>52</v>
      </c>
      <c r="DH53" s="268"/>
      <c r="DI53" s="268"/>
      <c r="DJ53" s="268"/>
      <c r="DK53" s="268"/>
      <c r="DL53" s="268"/>
      <c r="DM53" s="268"/>
      <c r="DN53" s="268"/>
      <c r="DO53" s="268"/>
      <c r="DP53" s="268"/>
      <c r="DQ53" s="268"/>
      <c r="DR53" s="268"/>
      <c r="DS53" s="268"/>
      <c r="DT53" s="268"/>
      <c r="DU53" s="268"/>
      <c r="DV53" s="268"/>
      <c r="DW53" s="268"/>
      <c r="DX53" s="268"/>
      <c r="DY53" s="268"/>
      <c r="DZ53" s="268"/>
      <c r="EA53" s="268"/>
      <c r="EB53" s="268">
        <f t="shared" si="110"/>
        <v>0</v>
      </c>
      <c r="EP53" s="232" t="s">
        <v>4070</v>
      </c>
      <c r="EQ53" s="232" t="s">
        <v>550</v>
      </c>
      <c r="EU53" s="174" t="s">
        <v>4303</v>
      </c>
      <c r="FB53" s="174" t="s">
        <v>675</v>
      </c>
      <c r="FH53" s="174" t="s">
        <v>1130</v>
      </c>
      <c r="FK53" s="174" t="s">
        <v>1124</v>
      </c>
      <c r="FL53" s="174" t="s">
        <v>1124</v>
      </c>
      <c r="FM53" s="174" t="s">
        <v>531</v>
      </c>
      <c r="FN53" s="174" t="s">
        <v>571</v>
      </c>
      <c r="FO53" s="174" t="s">
        <v>448</v>
      </c>
      <c r="FP53" s="174" t="s">
        <v>4282</v>
      </c>
      <c r="FR53" s="174" t="s">
        <v>510</v>
      </c>
      <c r="FT53" s="174" t="s">
        <v>1139</v>
      </c>
      <c r="FV53" s="174" t="s">
        <v>458</v>
      </c>
      <c r="FW53" s="174" t="s">
        <v>1132</v>
      </c>
      <c r="FY53" s="174" t="s">
        <v>1134</v>
      </c>
      <c r="GQ53" s="232"/>
      <c r="GR53" s="232"/>
      <c r="HA53" s="174">
        <v>3</v>
      </c>
      <c r="HB53" s="197">
        <v>50</v>
      </c>
      <c r="HC53" s="183">
        <v>45</v>
      </c>
      <c r="HD53" s="237">
        <v>70</v>
      </c>
      <c r="HE53" s="194">
        <v>25</v>
      </c>
      <c r="HF53" s="183">
        <v>115</v>
      </c>
      <c r="HG53" s="193">
        <f t="shared" si="3"/>
        <v>110</v>
      </c>
      <c r="HH53" s="192" t="e">
        <f t="shared" si="109"/>
        <v>#REF!</v>
      </c>
      <c r="HI53" s="198">
        <v>25</v>
      </c>
      <c r="HJ53" s="185">
        <v>115</v>
      </c>
      <c r="HK53" s="174">
        <v>51</v>
      </c>
      <c r="HL53" s="174">
        <f t="shared" si="83"/>
        <v>274</v>
      </c>
      <c r="HM53" s="174">
        <f t="shared" si="84"/>
        <v>264</v>
      </c>
      <c r="HN53" s="174">
        <f t="shared" si="85"/>
        <v>223</v>
      </c>
      <c r="HO53" s="174">
        <f t="shared" si="86"/>
        <v>192</v>
      </c>
      <c r="HP53" s="174">
        <f t="shared" si="87"/>
        <v>171</v>
      </c>
      <c r="HQ53" s="174">
        <f t="shared" si="88"/>
        <v>161</v>
      </c>
      <c r="HR53" s="174">
        <f t="shared" si="89"/>
        <v>161</v>
      </c>
      <c r="HS53" s="174">
        <f t="shared" si="90"/>
        <v>151</v>
      </c>
      <c r="HT53" s="174">
        <f t="shared" si="91"/>
        <v>141</v>
      </c>
      <c r="HU53" s="174">
        <f t="shared" si="92"/>
        <v>213</v>
      </c>
      <c r="HV53" s="174">
        <f t="shared" si="93"/>
        <v>161</v>
      </c>
      <c r="HW53" s="174">
        <f t="shared" si="94"/>
        <v>151</v>
      </c>
      <c r="HX53" s="174">
        <f t="shared" si="95"/>
        <v>172</v>
      </c>
      <c r="HY53" s="174">
        <f t="shared" si="96"/>
        <v>141</v>
      </c>
      <c r="HZ53" s="174">
        <f t="shared" si="97"/>
        <v>131</v>
      </c>
      <c r="IA53" s="174">
        <f t="shared" si="98"/>
        <v>121</v>
      </c>
      <c r="IB53" s="174">
        <f t="shared" si="99"/>
        <v>162</v>
      </c>
      <c r="IC53" s="174">
        <f t="shared" si="100"/>
        <v>142</v>
      </c>
      <c r="ID53" s="174">
        <f t="shared" si="101"/>
        <v>111</v>
      </c>
      <c r="IE53" s="174">
        <f t="shared" si="102"/>
        <v>132</v>
      </c>
      <c r="IF53" s="174">
        <f t="shared" si="103"/>
        <v>111</v>
      </c>
      <c r="IG53" s="174">
        <f t="shared" si="104"/>
        <v>91</v>
      </c>
      <c r="IH53" s="174">
        <f t="shared" si="105"/>
        <v>81</v>
      </c>
      <c r="II53" s="174">
        <f t="shared" si="106"/>
        <v>61</v>
      </c>
      <c r="IJ53" s="174">
        <v>53</v>
      </c>
      <c r="IR53" s="174">
        <v>2050000</v>
      </c>
      <c r="IS53" s="174">
        <v>51</v>
      </c>
    </row>
    <row r="54" spans="1:255" ht="13.35" customHeight="1" x14ac:dyDescent="0.2">
      <c r="A54" s="183">
        <f t="shared" si="107"/>
        <v>53</v>
      </c>
      <c r="B54" s="183">
        <v>0</v>
      </c>
      <c r="C54" s="183">
        <f t="shared" si="108"/>
        <v>53</v>
      </c>
      <c r="E54" s="189" t="s">
        <v>734</v>
      </c>
      <c r="F54" s="190" t="s">
        <v>1010</v>
      </c>
      <c r="G54" s="190" t="s">
        <v>1005</v>
      </c>
      <c r="H54" s="190" t="s">
        <v>1007</v>
      </c>
      <c r="I54" s="190" t="s">
        <v>988</v>
      </c>
      <c r="J54" s="190" t="s">
        <v>1004</v>
      </c>
      <c r="K54" s="190" t="s">
        <v>1042</v>
      </c>
      <c r="L54" s="190" t="s">
        <v>1042</v>
      </c>
      <c r="M54" s="190" t="s">
        <v>987</v>
      </c>
      <c r="N54" s="190" t="s">
        <v>987</v>
      </c>
      <c r="O54" s="190" t="s">
        <v>1042</v>
      </c>
      <c r="P54" s="190" t="s">
        <v>1042</v>
      </c>
      <c r="Q54" s="190" t="s">
        <v>1042</v>
      </c>
      <c r="R54" s="190" t="s">
        <v>1042</v>
      </c>
      <c r="S54" s="190" t="s">
        <v>1042</v>
      </c>
      <c r="T54" s="190" t="s">
        <v>1002</v>
      </c>
      <c r="U54" s="190" t="s">
        <v>1005</v>
      </c>
      <c r="V54" s="190" t="s">
        <v>988</v>
      </c>
      <c r="W54" s="190" t="s">
        <v>988</v>
      </c>
      <c r="X54" s="190" t="s">
        <v>1003</v>
      </c>
      <c r="Y54" s="190" t="s">
        <v>1003</v>
      </c>
      <c r="Z54" s="190"/>
      <c r="AA54" s="190" t="s">
        <v>1042</v>
      </c>
      <c r="AB54" s="190" t="s">
        <v>1042</v>
      </c>
      <c r="AC54" s="190" t="s">
        <v>988</v>
      </c>
      <c r="AD54" s="190" t="s">
        <v>1002</v>
      </c>
      <c r="AE54" s="190"/>
      <c r="AF54" s="190" t="s">
        <v>1042</v>
      </c>
      <c r="AG54" s="190" t="s">
        <v>1042</v>
      </c>
      <c r="AH54" s="190" t="s">
        <v>988</v>
      </c>
      <c r="AI54" s="190"/>
      <c r="AJ54" s="190" t="s">
        <v>1005</v>
      </c>
      <c r="AK54" s="190" t="s">
        <v>1042</v>
      </c>
      <c r="AL54" s="190" t="s">
        <v>1042</v>
      </c>
      <c r="AM54" s="190" t="s">
        <v>1042</v>
      </c>
      <c r="AN54" s="190"/>
      <c r="AO54" s="190" t="s">
        <v>1042</v>
      </c>
      <c r="AP54" s="190" t="s">
        <v>1042</v>
      </c>
      <c r="AQ54" s="190" t="s">
        <v>1002</v>
      </c>
      <c r="AR54" s="190"/>
      <c r="AS54" s="190" t="s">
        <v>1031</v>
      </c>
      <c r="AT54" s="190" t="s">
        <v>1031</v>
      </c>
      <c r="AU54" s="190" t="s">
        <v>1031</v>
      </c>
      <c r="AV54" s="190" t="s">
        <v>1031</v>
      </c>
      <c r="AW54" s="190" t="s">
        <v>1031</v>
      </c>
      <c r="AX54" s="190" t="s">
        <v>1031</v>
      </c>
      <c r="AY54" s="190" t="s">
        <v>1031</v>
      </c>
      <c r="AZ54" s="190" t="s">
        <v>1031</v>
      </c>
      <c r="BA54" s="190" t="s">
        <v>1031</v>
      </c>
      <c r="BB54" s="190" t="s">
        <v>1031</v>
      </c>
      <c r="BC54" s="190" t="s">
        <v>1031</v>
      </c>
      <c r="BD54" s="190" t="s">
        <v>1031</v>
      </c>
      <c r="BE54" s="190" t="s">
        <v>1031</v>
      </c>
      <c r="BF54" s="190" t="s">
        <v>1031</v>
      </c>
      <c r="BG54" s="190" t="s">
        <v>1031</v>
      </c>
      <c r="BH54" s="190" t="s">
        <v>1031</v>
      </c>
      <c r="BI54" s="190" t="s">
        <v>1031</v>
      </c>
      <c r="BJ54" s="190" t="s">
        <v>1031</v>
      </c>
      <c r="BK54" s="190" t="s">
        <v>1031</v>
      </c>
      <c r="BL54" s="190" t="s">
        <v>1031</v>
      </c>
      <c r="BM54" s="190" t="s">
        <v>1031</v>
      </c>
      <c r="BN54" s="190" t="s">
        <v>1031</v>
      </c>
      <c r="BO54" s="190" t="s">
        <v>1031</v>
      </c>
      <c r="BP54" s="190" t="s">
        <v>1031</v>
      </c>
      <c r="BQ54" s="190" t="s">
        <v>1031</v>
      </c>
      <c r="BR54" s="190" t="s">
        <v>1031</v>
      </c>
      <c r="BS54" s="190" t="s">
        <v>1031</v>
      </c>
      <c r="BT54" s="190" t="s">
        <v>1031</v>
      </c>
      <c r="BU54" s="190" t="s">
        <v>1031</v>
      </c>
      <c r="BV54" s="190" t="s">
        <v>1031</v>
      </c>
      <c r="BW54" s="190" t="s">
        <v>1031</v>
      </c>
      <c r="BX54" s="190" t="s">
        <v>1031</v>
      </c>
      <c r="BY54" s="190" t="s">
        <v>1031</v>
      </c>
      <c r="BZ54" s="190" t="s">
        <v>1031</v>
      </c>
      <c r="CA54" s="190" t="s">
        <v>1031</v>
      </c>
      <c r="CB54" s="190" t="s">
        <v>1031</v>
      </c>
      <c r="CC54" s="190" t="s">
        <v>1031</v>
      </c>
      <c r="CD54" s="190" t="s">
        <v>1031</v>
      </c>
      <c r="CE54" s="190" t="s">
        <v>1031</v>
      </c>
      <c r="CF54" s="190" t="s">
        <v>1031</v>
      </c>
      <c r="CG54" s="190" t="s">
        <v>1031</v>
      </c>
      <c r="CH54" s="190" t="s">
        <v>1031</v>
      </c>
      <c r="CI54" s="190" t="s">
        <v>1031</v>
      </c>
      <c r="CJ54" s="190" t="s">
        <v>1031</v>
      </c>
      <c r="CK54" s="190" t="s">
        <v>1031</v>
      </c>
      <c r="CL54" s="190" t="s">
        <v>1031</v>
      </c>
      <c r="CM54" s="190" t="s">
        <v>1031</v>
      </c>
      <c r="CN54" s="190" t="s">
        <v>1031</v>
      </c>
      <c r="CO54" s="190" t="s">
        <v>1031</v>
      </c>
      <c r="CP54" s="190" t="s">
        <v>1031</v>
      </c>
      <c r="CQ54" s="190" t="s">
        <v>1031</v>
      </c>
      <c r="CR54" s="190"/>
      <c r="CS54" s="190" t="s">
        <v>1005</v>
      </c>
      <c r="CT54" s="190" t="s">
        <v>1005</v>
      </c>
      <c r="CU54" s="190" t="s">
        <v>1002</v>
      </c>
      <c r="CV54" s="190" t="s">
        <v>1006</v>
      </c>
      <c r="CW54" s="190"/>
      <c r="CX54" s="190" t="s">
        <v>1005</v>
      </c>
      <c r="CY54" s="190" t="s">
        <v>987</v>
      </c>
      <c r="CZ54" s="190" t="s">
        <v>987</v>
      </c>
      <c r="DA54" s="190" t="s">
        <v>1005</v>
      </c>
      <c r="DB54" s="190" t="s">
        <v>1042</v>
      </c>
      <c r="DC54" s="190" t="s">
        <v>987</v>
      </c>
      <c r="DD54" s="190" t="s">
        <v>1042</v>
      </c>
      <c r="DE54" s="190"/>
      <c r="DF54" s="174">
        <v>53</v>
      </c>
      <c r="DH54" s="268"/>
      <c r="DI54" s="268"/>
      <c r="DJ54" s="268"/>
      <c r="DK54" s="268"/>
      <c r="DL54" s="268"/>
      <c r="DM54" s="268"/>
      <c r="DN54" s="268"/>
      <c r="DO54" s="268"/>
      <c r="DP54" s="268"/>
      <c r="DQ54" s="268"/>
      <c r="DR54" s="268"/>
      <c r="DS54" s="268"/>
      <c r="DT54" s="268"/>
      <c r="DU54" s="268"/>
      <c r="DV54" s="268"/>
      <c r="DW54" s="268"/>
      <c r="DX54" s="268"/>
      <c r="DY54" s="268"/>
      <c r="DZ54" s="268"/>
      <c r="EA54" s="268"/>
      <c r="EB54" s="268">
        <f t="shared" si="110"/>
        <v>0</v>
      </c>
      <c r="EP54" s="232" t="s">
        <v>4071</v>
      </c>
      <c r="EQ54" s="232" t="s">
        <v>554</v>
      </c>
      <c r="EU54" s="174" t="s">
        <v>427</v>
      </c>
      <c r="FB54" s="174" t="s">
        <v>4322</v>
      </c>
      <c r="FL54" s="174" t="s">
        <v>555</v>
      </c>
      <c r="FM54" s="174" t="s">
        <v>1139</v>
      </c>
      <c r="FO54" s="174" t="s">
        <v>685</v>
      </c>
      <c r="FR54" s="174" t="s">
        <v>1130</v>
      </c>
      <c r="FV54" s="174" t="s">
        <v>4297</v>
      </c>
      <c r="FW54" s="174" t="s">
        <v>1124</v>
      </c>
      <c r="FY54" s="174" t="s">
        <v>1138</v>
      </c>
      <c r="GQ54" s="232"/>
      <c r="GR54" s="232"/>
      <c r="HA54" s="174">
        <v>4</v>
      </c>
      <c r="HB54" s="197">
        <v>51</v>
      </c>
      <c r="HC54" s="194">
        <v>46</v>
      </c>
      <c r="HD54" s="238">
        <v>71</v>
      </c>
      <c r="HE54" s="236">
        <v>25</v>
      </c>
      <c r="HF54" s="183">
        <v>116</v>
      </c>
      <c r="HG54" s="193">
        <f t="shared" si="3"/>
        <v>111</v>
      </c>
      <c r="HH54" s="192" t="e">
        <f t="shared" si="109"/>
        <v>#REF!</v>
      </c>
      <c r="HI54" s="198">
        <v>25</v>
      </c>
      <c r="HJ54" s="185">
        <v>115.5</v>
      </c>
      <c r="HK54" s="174">
        <v>52</v>
      </c>
      <c r="HL54" s="174">
        <f t="shared" si="83"/>
        <v>278</v>
      </c>
      <c r="HM54" s="174">
        <f t="shared" si="84"/>
        <v>268</v>
      </c>
      <c r="HN54" s="174">
        <f t="shared" si="85"/>
        <v>226</v>
      </c>
      <c r="HO54" s="174">
        <f t="shared" si="86"/>
        <v>194</v>
      </c>
      <c r="HP54" s="174">
        <f t="shared" si="87"/>
        <v>172</v>
      </c>
      <c r="HQ54" s="174">
        <f t="shared" si="88"/>
        <v>162</v>
      </c>
      <c r="HR54" s="174">
        <f t="shared" si="89"/>
        <v>162</v>
      </c>
      <c r="HS54" s="174">
        <f t="shared" si="90"/>
        <v>152</v>
      </c>
      <c r="HT54" s="174">
        <f t="shared" si="91"/>
        <v>142</v>
      </c>
      <c r="HU54" s="174">
        <f t="shared" si="92"/>
        <v>216</v>
      </c>
      <c r="HV54" s="174">
        <f t="shared" si="93"/>
        <v>162</v>
      </c>
      <c r="HW54" s="174">
        <f t="shared" si="94"/>
        <v>152</v>
      </c>
      <c r="HX54" s="174">
        <f t="shared" si="95"/>
        <v>174</v>
      </c>
      <c r="HY54" s="174">
        <f t="shared" si="96"/>
        <v>142</v>
      </c>
      <c r="HZ54" s="174">
        <f t="shared" si="97"/>
        <v>132</v>
      </c>
      <c r="IA54" s="174">
        <f t="shared" si="98"/>
        <v>122</v>
      </c>
      <c r="IB54" s="174">
        <f t="shared" si="99"/>
        <v>164</v>
      </c>
      <c r="IC54" s="174">
        <f t="shared" si="100"/>
        <v>144</v>
      </c>
      <c r="ID54" s="174">
        <f t="shared" si="101"/>
        <v>112</v>
      </c>
      <c r="IE54" s="174">
        <f t="shared" si="102"/>
        <v>134</v>
      </c>
      <c r="IF54" s="174">
        <f t="shared" si="103"/>
        <v>112</v>
      </c>
      <c r="IG54" s="174">
        <f t="shared" si="104"/>
        <v>92</v>
      </c>
      <c r="IH54" s="174">
        <f t="shared" si="105"/>
        <v>82</v>
      </c>
      <c r="II54" s="174">
        <f t="shared" si="106"/>
        <v>62</v>
      </c>
      <c r="IJ54" s="174">
        <v>54</v>
      </c>
      <c r="IR54" s="174">
        <v>2100000</v>
      </c>
      <c r="IS54" s="174">
        <v>52</v>
      </c>
    </row>
    <row r="55" spans="1:255" ht="13.35" customHeight="1" x14ac:dyDescent="0.2">
      <c r="A55" s="183">
        <f t="shared" si="107"/>
        <v>54</v>
      </c>
      <c r="B55" s="183">
        <v>0</v>
      </c>
      <c r="C55" s="183">
        <f t="shared" si="108"/>
        <v>54</v>
      </c>
      <c r="E55" s="189" t="s">
        <v>739</v>
      </c>
      <c r="F55" s="190" t="s">
        <v>1010</v>
      </c>
      <c r="G55" s="190" t="s">
        <v>1005</v>
      </c>
      <c r="H55" s="190" t="s">
        <v>1007</v>
      </c>
      <c r="I55" s="190" t="s">
        <v>988</v>
      </c>
      <c r="J55" s="190" t="s">
        <v>1002</v>
      </c>
      <c r="K55" s="190" t="s">
        <v>1042</v>
      </c>
      <c r="L55" s="190" t="s">
        <v>1042</v>
      </c>
      <c r="M55" s="190" t="s">
        <v>987</v>
      </c>
      <c r="N55" s="190" t="s">
        <v>987</v>
      </c>
      <c r="O55" s="190" t="s">
        <v>1042</v>
      </c>
      <c r="P55" s="190" t="s">
        <v>1042</v>
      </c>
      <c r="Q55" s="190" t="s">
        <v>1042</v>
      </c>
      <c r="R55" s="190" t="s">
        <v>1042</v>
      </c>
      <c r="S55" s="190" t="s">
        <v>1042</v>
      </c>
      <c r="T55" s="190" t="s">
        <v>1002</v>
      </c>
      <c r="U55" s="190" t="s">
        <v>1005</v>
      </c>
      <c r="V55" s="190" t="s">
        <v>1030</v>
      </c>
      <c r="W55" s="190" t="s">
        <v>930</v>
      </c>
      <c r="X55" s="190" t="s">
        <v>1003</v>
      </c>
      <c r="Y55" s="190" t="s">
        <v>988</v>
      </c>
      <c r="Z55" s="190"/>
      <c r="AA55" s="190" t="s">
        <v>1042</v>
      </c>
      <c r="AB55" s="190" t="s">
        <v>1042</v>
      </c>
      <c r="AC55" s="190" t="s">
        <v>930</v>
      </c>
      <c r="AD55" s="190" t="s">
        <v>1003</v>
      </c>
      <c r="AE55" s="190"/>
      <c r="AF55" s="190" t="s">
        <v>1042</v>
      </c>
      <c r="AG55" s="190" t="s">
        <v>1042</v>
      </c>
      <c r="AH55" s="190" t="s">
        <v>930</v>
      </c>
      <c r="AI55" s="190"/>
      <c r="AJ55" s="190" t="s">
        <v>1005</v>
      </c>
      <c r="AK55" s="190" t="s">
        <v>1042</v>
      </c>
      <c r="AL55" s="190" t="s">
        <v>1042</v>
      </c>
      <c r="AM55" s="190" t="s">
        <v>1042</v>
      </c>
      <c r="AN55" s="190"/>
      <c r="AO55" s="190" t="s">
        <v>1042</v>
      </c>
      <c r="AP55" s="190" t="s">
        <v>1042</v>
      </c>
      <c r="AQ55" s="190" t="s">
        <v>1002</v>
      </c>
      <c r="AR55" s="190"/>
      <c r="AS55" s="190" t="s">
        <v>1031</v>
      </c>
      <c r="AT55" s="190" t="s">
        <v>1031</v>
      </c>
      <c r="AU55" s="190" t="s">
        <v>1031</v>
      </c>
      <c r="AV55" s="190" t="s">
        <v>1031</v>
      </c>
      <c r="AW55" s="190" t="s">
        <v>1031</v>
      </c>
      <c r="AX55" s="190" t="s">
        <v>1031</v>
      </c>
      <c r="AY55" s="190" t="s">
        <v>1031</v>
      </c>
      <c r="AZ55" s="190" t="s">
        <v>1031</v>
      </c>
      <c r="BA55" s="190" t="s">
        <v>1031</v>
      </c>
      <c r="BB55" s="190" t="s">
        <v>1031</v>
      </c>
      <c r="BC55" s="190" t="s">
        <v>1031</v>
      </c>
      <c r="BD55" s="190" t="s">
        <v>1031</v>
      </c>
      <c r="BE55" s="190" t="s">
        <v>1031</v>
      </c>
      <c r="BF55" s="190" t="s">
        <v>1031</v>
      </c>
      <c r="BG55" s="190" t="s">
        <v>1031</v>
      </c>
      <c r="BH55" s="190" t="s">
        <v>1031</v>
      </c>
      <c r="BI55" s="190" t="s">
        <v>1031</v>
      </c>
      <c r="BJ55" s="190" t="s">
        <v>1031</v>
      </c>
      <c r="BK55" s="190" t="s">
        <v>1031</v>
      </c>
      <c r="BL55" s="190" t="s">
        <v>1031</v>
      </c>
      <c r="BM55" s="190" t="s">
        <v>1031</v>
      </c>
      <c r="BN55" s="190" t="s">
        <v>1031</v>
      </c>
      <c r="BO55" s="190" t="s">
        <v>1031</v>
      </c>
      <c r="BP55" s="190" t="s">
        <v>1031</v>
      </c>
      <c r="BQ55" s="190" t="s">
        <v>1031</v>
      </c>
      <c r="BR55" s="190" t="s">
        <v>1031</v>
      </c>
      <c r="BS55" s="190" t="s">
        <v>1031</v>
      </c>
      <c r="BT55" s="190" t="s">
        <v>1031</v>
      </c>
      <c r="BU55" s="190" t="s">
        <v>1031</v>
      </c>
      <c r="BV55" s="190" t="s">
        <v>1031</v>
      </c>
      <c r="BW55" s="190" t="s">
        <v>1031</v>
      </c>
      <c r="BX55" s="190" t="s">
        <v>1031</v>
      </c>
      <c r="BY55" s="190" t="s">
        <v>1031</v>
      </c>
      <c r="BZ55" s="190" t="s">
        <v>1031</v>
      </c>
      <c r="CA55" s="190" t="s">
        <v>1031</v>
      </c>
      <c r="CB55" s="190" t="s">
        <v>1031</v>
      </c>
      <c r="CC55" s="190" t="s">
        <v>1031</v>
      </c>
      <c r="CD55" s="190" t="s">
        <v>1031</v>
      </c>
      <c r="CE55" s="190" t="s">
        <v>1031</v>
      </c>
      <c r="CF55" s="190" t="s">
        <v>1031</v>
      </c>
      <c r="CG55" s="190" t="s">
        <v>1031</v>
      </c>
      <c r="CH55" s="190" t="s">
        <v>1031</v>
      </c>
      <c r="CI55" s="190" t="s">
        <v>1031</v>
      </c>
      <c r="CJ55" s="190" t="s">
        <v>1031</v>
      </c>
      <c r="CK55" s="190" t="s">
        <v>1031</v>
      </c>
      <c r="CL55" s="190" t="s">
        <v>1031</v>
      </c>
      <c r="CM55" s="190" t="s">
        <v>1031</v>
      </c>
      <c r="CN55" s="190" t="s">
        <v>1031</v>
      </c>
      <c r="CO55" s="190" t="s">
        <v>1031</v>
      </c>
      <c r="CP55" s="190" t="s">
        <v>1031</v>
      </c>
      <c r="CQ55" s="190" t="s">
        <v>1031</v>
      </c>
      <c r="CR55" s="190"/>
      <c r="CS55" s="190" t="s">
        <v>1005</v>
      </c>
      <c r="CT55" s="190" t="s">
        <v>1005</v>
      </c>
      <c r="CU55" s="190" t="s">
        <v>988</v>
      </c>
      <c r="CV55" s="190" t="s">
        <v>1051</v>
      </c>
      <c r="CW55" s="190"/>
      <c r="CX55" s="190" t="s">
        <v>1005</v>
      </c>
      <c r="CY55" s="190" t="s">
        <v>987</v>
      </c>
      <c r="CZ55" s="190" t="s">
        <v>1042</v>
      </c>
      <c r="DA55" s="190" t="s">
        <v>1005</v>
      </c>
      <c r="DB55" s="190" t="s">
        <v>1042</v>
      </c>
      <c r="DC55" s="190" t="s">
        <v>987</v>
      </c>
      <c r="DD55" s="190" t="s">
        <v>1042</v>
      </c>
      <c r="DE55" s="190"/>
      <c r="DF55" s="174">
        <v>54</v>
      </c>
      <c r="DH55" s="268"/>
      <c r="DI55" s="268"/>
      <c r="DJ55" s="268"/>
      <c r="DK55" s="268"/>
      <c r="DL55" s="268"/>
      <c r="DM55" s="268"/>
      <c r="DN55" s="268"/>
      <c r="DO55" s="268"/>
      <c r="DP55" s="268"/>
      <c r="DQ55" s="268"/>
      <c r="DR55" s="268"/>
      <c r="DS55" s="268"/>
      <c r="DT55" s="268"/>
      <c r="DU55" s="268"/>
      <c r="DV55" s="268"/>
      <c r="DW55" s="268"/>
      <c r="DX55" s="268"/>
      <c r="DY55" s="268"/>
      <c r="DZ55" s="268"/>
      <c r="EA55" s="268"/>
      <c r="EB55" s="268">
        <f t="shared" si="110"/>
        <v>0</v>
      </c>
      <c r="EP55" s="232" t="s">
        <v>4072</v>
      </c>
      <c r="EQ55" s="232" t="s">
        <v>4070</v>
      </c>
      <c r="EU55" s="174" t="s">
        <v>422</v>
      </c>
      <c r="FB55" s="174" t="s">
        <v>427</v>
      </c>
      <c r="FM55" s="174" t="s">
        <v>1129</v>
      </c>
      <c r="FO55" s="174" t="s">
        <v>1140</v>
      </c>
      <c r="FW55" s="174" t="s">
        <v>4332</v>
      </c>
      <c r="FY55" s="174" t="s">
        <v>1143</v>
      </c>
      <c r="GQ55" s="232"/>
      <c r="GR55" s="232"/>
      <c r="HA55" s="174">
        <v>5</v>
      </c>
      <c r="HB55" s="197">
        <v>52</v>
      </c>
      <c r="HC55" s="194">
        <v>46</v>
      </c>
      <c r="HD55" s="238">
        <v>71</v>
      </c>
      <c r="HE55" s="236">
        <v>25</v>
      </c>
      <c r="HF55" s="183">
        <v>117</v>
      </c>
      <c r="HG55" s="193">
        <f t="shared" si="3"/>
        <v>112</v>
      </c>
      <c r="HH55" s="192" t="e">
        <f t="shared" si="109"/>
        <v>#REF!</v>
      </c>
      <c r="HI55" s="198">
        <v>25</v>
      </c>
      <c r="HJ55" s="185">
        <v>116</v>
      </c>
      <c r="HK55" s="174">
        <v>53</v>
      </c>
      <c r="HL55" s="174">
        <f t="shared" si="83"/>
        <v>282</v>
      </c>
      <c r="HM55" s="174">
        <f t="shared" si="84"/>
        <v>272</v>
      </c>
      <c r="HN55" s="174">
        <f t="shared" si="85"/>
        <v>229</v>
      </c>
      <c r="HO55" s="174">
        <f t="shared" si="86"/>
        <v>196</v>
      </c>
      <c r="HP55" s="174">
        <f t="shared" si="87"/>
        <v>173</v>
      </c>
      <c r="HQ55" s="174">
        <f t="shared" si="88"/>
        <v>163</v>
      </c>
      <c r="HR55" s="174">
        <f t="shared" si="89"/>
        <v>163</v>
      </c>
      <c r="HS55" s="174">
        <f t="shared" si="90"/>
        <v>153</v>
      </c>
      <c r="HT55" s="174">
        <f t="shared" si="91"/>
        <v>143</v>
      </c>
      <c r="HU55" s="174">
        <f t="shared" si="92"/>
        <v>219</v>
      </c>
      <c r="HV55" s="174">
        <f t="shared" si="93"/>
        <v>163</v>
      </c>
      <c r="HW55" s="174">
        <f t="shared" si="94"/>
        <v>153</v>
      </c>
      <c r="HX55" s="174">
        <f t="shared" si="95"/>
        <v>176</v>
      </c>
      <c r="HY55" s="174">
        <f t="shared" si="96"/>
        <v>143</v>
      </c>
      <c r="HZ55" s="174">
        <f t="shared" si="97"/>
        <v>133</v>
      </c>
      <c r="IA55" s="174">
        <f t="shared" si="98"/>
        <v>123</v>
      </c>
      <c r="IB55" s="174">
        <f t="shared" si="99"/>
        <v>166</v>
      </c>
      <c r="IC55" s="174">
        <f t="shared" si="100"/>
        <v>146</v>
      </c>
      <c r="ID55" s="174">
        <f t="shared" si="101"/>
        <v>113</v>
      </c>
      <c r="IE55" s="174">
        <f t="shared" si="102"/>
        <v>136</v>
      </c>
      <c r="IF55" s="174">
        <f t="shared" si="103"/>
        <v>113</v>
      </c>
      <c r="IG55" s="174">
        <f t="shared" si="104"/>
        <v>93</v>
      </c>
      <c r="IH55" s="174">
        <f t="shared" si="105"/>
        <v>83</v>
      </c>
      <c r="II55" s="174">
        <f t="shared" si="106"/>
        <v>63</v>
      </c>
      <c r="IJ55" s="174">
        <v>55</v>
      </c>
      <c r="IR55" s="174">
        <v>2150000</v>
      </c>
      <c r="IS55" s="174">
        <v>53</v>
      </c>
    </row>
    <row r="56" spans="1:255" ht="13.35" customHeight="1" x14ac:dyDescent="0.2">
      <c r="A56" s="183">
        <f t="shared" si="107"/>
        <v>55</v>
      </c>
      <c r="B56" s="183">
        <v>0</v>
      </c>
      <c r="C56" s="183">
        <f t="shared" si="108"/>
        <v>55</v>
      </c>
      <c r="E56" s="189" t="s">
        <v>742</v>
      </c>
      <c r="F56" s="190" t="s">
        <v>1004</v>
      </c>
      <c r="G56" s="190" t="s">
        <v>1002</v>
      </c>
      <c r="H56" s="190" t="s">
        <v>1002</v>
      </c>
      <c r="I56" s="190" t="s">
        <v>1030</v>
      </c>
      <c r="J56" s="190" t="s">
        <v>1003</v>
      </c>
      <c r="K56" s="190" t="s">
        <v>1042</v>
      </c>
      <c r="L56" s="190" t="s">
        <v>1042</v>
      </c>
      <c r="M56" s="190" t="s">
        <v>1042</v>
      </c>
      <c r="N56" s="190" t="s">
        <v>1042</v>
      </c>
      <c r="O56" s="190" t="s">
        <v>1042</v>
      </c>
      <c r="P56" s="190" t="s">
        <v>1042</v>
      </c>
      <c r="Q56" s="190" t="s">
        <v>1042</v>
      </c>
      <c r="R56" s="190" t="s">
        <v>1042</v>
      </c>
      <c r="S56" s="190" t="s">
        <v>1042</v>
      </c>
      <c r="T56" s="190" t="s">
        <v>987</v>
      </c>
      <c r="U56" s="190" t="s">
        <v>1002</v>
      </c>
      <c r="V56" s="190" t="s">
        <v>1030</v>
      </c>
      <c r="W56" s="190" t="s">
        <v>1030</v>
      </c>
      <c r="X56" s="190" t="s">
        <v>1030</v>
      </c>
      <c r="Y56" s="190" t="s">
        <v>987</v>
      </c>
      <c r="Z56" s="190"/>
      <c r="AA56" s="190" t="s">
        <v>1042</v>
      </c>
      <c r="AB56" s="190" t="s">
        <v>1042</v>
      </c>
      <c r="AC56" s="190" t="s">
        <v>1031</v>
      </c>
      <c r="AD56" s="190" t="s">
        <v>988</v>
      </c>
      <c r="AE56" s="190"/>
      <c r="AF56" s="190" t="s">
        <v>1042</v>
      </c>
      <c r="AG56" s="190" t="s">
        <v>1042</v>
      </c>
      <c r="AH56" s="190" t="s">
        <v>1030</v>
      </c>
      <c r="AI56" s="190"/>
      <c r="AJ56" s="190" t="s">
        <v>1005</v>
      </c>
      <c r="AK56" s="190" t="s">
        <v>1042</v>
      </c>
      <c r="AL56" s="190" t="s">
        <v>1042</v>
      </c>
      <c r="AM56" s="190" t="s">
        <v>1042</v>
      </c>
      <c r="AN56" s="190"/>
      <c r="AO56" s="190" t="s">
        <v>1042</v>
      </c>
      <c r="AP56" s="190" t="s">
        <v>1042</v>
      </c>
      <c r="AQ56" s="190" t="s">
        <v>987</v>
      </c>
      <c r="AR56" s="190"/>
      <c r="AS56" s="190" t="s">
        <v>1042</v>
      </c>
      <c r="AT56" s="190" t="s">
        <v>1042</v>
      </c>
      <c r="AU56" s="190" t="s">
        <v>1042</v>
      </c>
      <c r="AV56" s="190" t="s">
        <v>1042</v>
      </c>
      <c r="AW56" s="190" t="s">
        <v>1042</v>
      </c>
      <c r="AX56" s="190" t="s">
        <v>1042</v>
      </c>
      <c r="AY56" s="190" t="s">
        <v>1042</v>
      </c>
      <c r="AZ56" s="190" t="s">
        <v>1042</v>
      </c>
      <c r="BA56" s="190" t="s">
        <v>1042</v>
      </c>
      <c r="BB56" s="190" t="s">
        <v>1042</v>
      </c>
      <c r="BC56" s="190" t="s">
        <v>1042</v>
      </c>
      <c r="BD56" s="190" t="s">
        <v>1042</v>
      </c>
      <c r="BE56" s="190" t="s">
        <v>1042</v>
      </c>
      <c r="BF56" s="190" t="s">
        <v>1042</v>
      </c>
      <c r="BG56" s="190" t="s">
        <v>1042</v>
      </c>
      <c r="BH56" s="190" t="s">
        <v>1042</v>
      </c>
      <c r="BI56" s="190" t="s">
        <v>1042</v>
      </c>
      <c r="BJ56" s="190" t="s">
        <v>1042</v>
      </c>
      <c r="BK56" s="190" t="s">
        <v>1042</v>
      </c>
      <c r="BL56" s="190" t="s">
        <v>1042</v>
      </c>
      <c r="BM56" s="190" t="s">
        <v>1042</v>
      </c>
      <c r="BN56" s="190" t="s">
        <v>1042</v>
      </c>
      <c r="BO56" s="190" t="s">
        <v>1042</v>
      </c>
      <c r="BP56" s="190" t="s">
        <v>1042</v>
      </c>
      <c r="BQ56" s="190" t="s">
        <v>1042</v>
      </c>
      <c r="BR56" s="190" t="s">
        <v>1042</v>
      </c>
      <c r="BS56" s="190" t="s">
        <v>1042</v>
      </c>
      <c r="BT56" s="190" t="s">
        <v>1042</v>
      </c>
      <c r="BU56" s="190" t="s">
        <v>1042</v>
      </c>
      <c r="BV56" s="190" t="s">
        <v>1042</v>
      </c>
      <c r="BW56" s="190" t="s">
        <v>1042</v>
      </c>
      <c r="BX56" s="190" t="s">
        <v>1042</v>
      </c>
      <c r="BY56" s="190" t="s">
        <v>1042</v>
      </c>
      <c r="BZ56" s="190" t="s">
        <v>1042</v>
      </c>
      <c r="CA56" s="190" t="s">
        <v>1042</v>
      </c>
      <c r="CB56" s="190" t="s">
        <v>1042</v>
      </c>
      <c r="CC56" s="190" t="s">
        <v>1042</v>
      </c>
      <c r="CD56" s="190" t="s">
        <v>1042</v>
      </c>
      <c r="CE56" s="190" t="s">
        <v>1042</v>
      </c>
      <c r="CF56" s="190" t="s">
        <v>1042</v>
      </c>
      <c r="CG56" s="190" t="s">
        <v>1042</v>
      </c>
      <c r="CH56" s="190" t="s">
        <v>1042</v>
      </c>
      <c r="CI56" s="190" t="s">
        <v>1042</v>
      </c>
      <c r="CJ56" s="190" t="s">
        <v>1042</v>
      </c>
      <c r="CK56" s="190" t="s">
        <v>1042</v>
      </c>
      <c r="CL56" s="190" t="s">
        <v>1042</v>
      </c>
      <c r="CM56" s="190" t="s">
        <v>1042</v>
      </c>
      <c r="CN56" s="190" t="s">
        <v>1042</v>
      </c>
      <c r="CO56" s="190" t="s">
        <v>1042</v>
      </c>
      <c r="CP56" s="190" t="s">
        <v>1042</v>
      </c>
      <c r="CQ56" s="190" t="s">
        <v>1042</v>
      </c>
      <c r="CR56" s="190"/>
      <c r="CS56" s="190" t="s">
        <v>1002</v>
      </c>
      <c r="CT56" s="190" t="s">
        <v>1002</v>
      </c>
      <c r="CU56" s="190" t="s">
        <v>1030</v>
      </c>
      <c r="CV56" s="190" t="s">
        <v>1051</v>
      </c>
      <c r="CW56" s="190"/>
      <c r="CX56" s="190" t="s">
        <v>1002</v>
      </c>
      <c r="CY56" s="190" t="s">
        <v>1042</v>
      </c>
      <c r="CZ56" s="190" t="s">
        <v>1042</v>
      </c>
      <c r="DA56" s="190" t="s">
        <v>1002</v>
      </c>
      <c r="DB56" s="190" t="s">
        <v>1042</v>
      </c>
      <c r="DC56" s="190" t="s">
        <v>1042</v>
      </c>
      <c r="DD56" s="190" t="s">
        <v>1042</v>
      </c>
      <c r="DE56" s="190"/>
      <c r="DF56" s="174">
        <v>55</v>
      </c>
      <c r="DH56" s="268"/>
      <c r="DI56" s="268"/>
      <c r="DJ56" s="268"/>
      <c r="DK56" s="268"/>
      <c r="DL56" s="268"/>
      <c r="DM56" s="268"/>
      <c r="DN56" s="268"/>
      <c r="DO56" s="268"/>
      <c r="DP56" s="268"/>
      <c r="DQ56" s="268"/>
      <c r="DR56" s="268"/>
      <c r="DS56" s="268"/>
      <c r="DT56" s="268"/>
      <c r="DU56" s="268"/>
      <c r="DV56" s="268"/>
      <c r="DW56" s="268"/>
      <c r="DX56" s="268"/>
      <c r="DY56" s="268"/>
      <c r="DZ56" s="268"/>
      <c r="EA56" s="268"/>
      <c r="EB56" s="268">
        <f t="shared" si="110"/>
        <v>0</v>
      </c>
      <c r="EU56" s="174" t="s">
        <v>461</v>
      </c>
      <c r="FB56" s="174" t="s">
        <v>1129</v>
      </c>
      <c r="FM56" s="174" t="s">
        <v>420</v>
      </c>
      <c r="FY56" s="174" t="s">
        <v>1145</v>
      </c>
      <c r="HA56" s="174">
        <v>6</v>
      </c>
      <c r="HB56" s="197">
        <v>53</v>
      </c>
      <c r="HC56" s="194">
        <v>47</v>
      </c>
      <c r="HD56" s="238">
        <v>72</v>
      </c>
      <c r="HE56" s="236">
        <v>25</v>
      </c>
      <c r="HF56" s="183">
        <v>118</v>
      </c>
      <c r="HG56" s="193">
        <f t="shared" si="3"/>
        <v>113</v>
      </c>
      <c r="HH56" s="192" t="e">
        <f t="shared" si="109"/>
        <v>#REF!</v>
      </c>
      <c r="HI56" s="198">
        <v>25</v>
      </c>
      <c r="HJ56" s="185">
        <v>116.5</v>
      </c>
      <c r="HK56" s="174">
        <v>54</v>
      </c>
      <c r="HL56" s="174">
        <f t="shared" si="83"/>
        <v>286</v>
      </c>
      <c r="HM56" s="174">
        <f t="shared" si="84"/>
        <v>276</v>
      </c>
      <c r="HN56" s="174">
        <f t="shared" si="85"/>
        <v>232</v>
      </c>
      <c r="HO56" s="174">
        <f t="shared" si="86"/>
        <v>198</v>
      </c>
      <c r="HP56" s="174">
        <f t="shared" si="87"/>
        <v>174</v>
      </c>
      <c r="HQ56" s="174">
        <f t="shared" si="88"/>
        <v>164</v>
      </c>
      <c r="HR56" s="174">
        <f t="shared" si="89"/>
        <v>164</v>
      </c>
      <c r="HS56" s="174">
        <f t="shared" si="90"/>
        <v>154</v>
      </c>
      <c r="HT56" s="174">
        <f t="shared" si="91"/>
        <v>144</v>
      </c>
      <c r="HU56" s="174">
        <f t="shared" si="92"/>
        <v>222</v>
      </c>
      <c r="HV56" s="174">
        <f t="shared" si="93"/>
        <v>164</v>
      </c>
      <c r="HW56" s="174">
        <f t="shared" si="94"/>
        <v>154</v>
      </c>
      <c r="HX56" s="174">
        <f t="shared" si="95"/>
        <v>178</v>
      </c>
      <c r="HY56" s="174">
        <f t="shared" si="96"/>
        <v>144</v>
      </c>
      <c r="HZ56" s="174">
        <f t="shared" si="97"/>
        <v>134</v>
      </c>
      <c r="IA56" s="174">
        <f t="shared" si="98"/>
        <v>124</v>
      </c>
      <c r="IB56" s="174">
        <f t="shared" si="99"/>
        <v>168</v>
      </c>
      <c r="IC56" s="174">
        <f t="shared" si="100"/>
        <v>148</v>
      </c>
      <c r="ID56" s="174">
        <f t="shared" si="101"/>
        <v>114</v>
      </c>
      <c r="IE56" s="174">
        <f t="shared" si="102"/>
        <v>138</v>
      </c>
      <c r="IF56" s="174">
        <f t="shared" si="103"/>
        <v>114</v>
      </c>
      <c r="IG56" s="174">
        <f t="shared" si="104"/>
        <v>94</v>
      </c>
      <c r="IH56" s="174">
        <f t="shared" si="105"/>
        <v>84</v>
      </c>
      <c r="II56" s="174">
        <f t="shared" si="106"/>
        <v>64</v>
      </c>
      <c r="IJ56" s="174">
        <v>56</v>
      </c>
      <c r="IR56" s="174">
        <v>2200000</v>
      </c>
      <c r="IS56" s="174">
        <v>54</v>
      </c>
    </row>
    <row r="57" spans="1:255" ht="13.35" customHeight="1" x14ac:dyDescent="0.2">
      <c r="A57" s="183">
        <f t="shared" si="107"/>
        <v>56</v>
      </c>
      <c r="B57" s="183">
        <v>0</v>
      </c>
      <c r="C57" s="183">
        <f t="shared" si="108"/>
        <v>56</v>
      </c>
      <c r="E57" s="189" t="s">
        <v>744</v>
      </c>
      <c r="F57" s="190" t="s">
        <v>1004</v>
      </c>
      <c r="G57" s="190" t="s">
        <v>1002</v>
      </c>
      <c r="H57" s="190" t="s">
        <v>1002</v>
      </c>
      <c r="I57" s="190" t="s">
        <v>1030</v>
      </c>
      <c r="J57" s="190" t="s">
        <v>1003</v>
      </c>
      <c r="K57" s="190" t="s">
        <v>1042</v>
      </c>
      <c r="L57" s="190" t="s">
        <v>1042</v>
      </c>
      <c r="M57" s="190" t="s">
        <v>1042</v>
      </c>
      <c r="N57" s="190" t="s">
        <v>1042</v>
      </c>
      <c r="O57" s="190" t="s">
        <v>1042</v>
      </c>
      <c r="P57" s="190" t="s">
        <v>1042</v>
      </c>
      <c r="Q57" s="190" t="s">
        <v>1042</v>
      </c>
      <c r="R57" s="190" t="s">
        <v>1042</v>
      </c>
      <c r="S57" s="190" t="s">
        <v>1042</v>
      </c>
      <c r="T57" s="190" t="s">
        <v>987</v>
      </c>
      <c r="U57" s="190" t="s">
        <v>1002</v>
      </c>
      <c r="V57" s="190" t="s">
        <v>1030</v>
      </c>
      <c r="W57" s="190" t="s">
        <v>1030</v>
      </c>
      <c r="X57" s="190" t="s">
        <v>1030</v>
      </c>
      <c r="Y57" s="190" t="s">
        <v>930</v>
      </c>
      <c r="Z57" s="190"/>
      <c r="AA57" s="190" t="s">
        <v>1042</v>
      </c>
      <c r="AB57" s="190" t="s">
        <v>1042</v>
      </c>
      <c r="AC57" s="190" t="s">
        <v>1030</v>
      </c>
      <c r="AD57" s="190" t="s">
        <v>987</v>
      </c>
      <c r="AE57" s="190"/>
      <c r="AF57" s="190" t="s">
        <v>1042</v>
      </c>
      <c r="AG57" s="190" t="s">
        <v>1042</v>
      </c>
      <c r="AH57" s="190" t="s">
        <v>1030</v>
      </c>
      <c r="AI57" s="190"/>
      <c r="AJ57" s="190" t="s">
        <v>1002</v>
      </c>
      <c r="AK57" s="190" t="s">
        <v>1042</v>
      </c>
      <c r="AL57" s="190" t="s">
        <v>1042</v>
      </c>
      <c r="AM57" s="190" t="s">
        <v>1042</v>
      </c>
      <c r="AN57" s="190"/>
      <c r="AO57" s="190" t="s">
        <v>1042</v>
      </c>
      <c r="AP57" s="190" t="s">
        <v>1042</v>
      </c>
      <c r="AQ57" s="190" t="s">
        <v>987</v>
      </c>
      <c r="AR57" s="190"/>
      <c r="AS57" s="190" t="s">
        <v>1042</v>
      </c>
      <c r="AT57" s="190" t="s">
        <v>1042</v>
      </c>
      <c r="AU57" s="190" t="s">
        <v>1042</v>
      </c>
      <c r="AV57" s="190" t="s">
        <v>1042</v>
      </c>
      <c r="AW57" s="190" t="s">
        <v>1042</v>
      </c>
      <c r="AX57" s="190" t="s">
        <v>1042</v>
      </c>
      <c r="AY57" s="190" t="s">
        <v>1042</v>
      </c>
      <c r="AZ57" s="190" t="s">
        <v>1042</v>
      </c>
      <c r="BA57" s="190" t="s">
        <v>1042</v>
      </c>
      <c r="BB57" s="190" t="s">
        <v>1042</v>
      </c>
      <c r="BC57" s="190" t="s">
        <v>1042</v>
      </c>
      <c r="BD57" s="190" t="s">
        <v>1042</v>
      </c>
      <c r="BE57" s="190" t="s">
        <v>1042</v>
      </c>
      <c r="BF57" s="190" t="s">
        <v>1042</v>
      </c>
      <c r="BG57" s="190" t="s">
        <v>1042</v>
      </c>
      <c r="BH57" s="190" t="s">
        <v>1042</v>
      </c>
      <c r="BI57" s="190" t="s">
        <v>1042</v>
      </c>
      <c r="BJ57" s="190" t="s">
        <v>1042</v>
      </c>
      <c r="BK57" s="190" t="s">
        <v>1042</v>
      </c>
      <c r="BL57" s="190" t="s">
        <v>1042</v>
      </c>
      <c r="BM57" s="190" t="s">
        <v>1042</v>
      </c>
      <c r="BN57" s="190" t="s">
        <v>1042</v>
      </c>
      <c r="BO57" s="190" t="s">
        <v>1042</v>
      </c>
      <c r="BP57" s="190" t="s">
        <v>1042</v>
      </c>
      <c r="BQ57" s="190" t="s">
        <v>1042</v>
      </c>
      <c r="BR57" s="190" t="s">
        <v>1042</v>
      </c>
      <c r="BS57" s="190" t="s">
        <v>1042</v>
      </c>
      <c r="BT57" s="190" t="s">
        <v>1042</v>
      </c>
      <c r="BU57" s="190" t="s">
        <v>1042</v>
      </c>
      <c r="BV57" s="190" t="s">
        <v>1042</v>
      </c>
      <c r="BW57" s="190" t="s">
        <v>1042</v>
      </c>
      <c r="BX57" s="190" t="s">
        <v>1042</v>
      </c>
      <c r="BY57" s="190" t="s">
        <v>1042</v>
      </c>
      <c r="BZ57" s="190" t="s">
        <v>1042</v>
      </c>
      <c r="CA57" s="190" t="s">
        <v>1042</v>
      </c>
      <c r="CB57" s="190" t="s">
        <v>1042</v>
      </c>
      <c r="CC57" s="190" t="s">
        <v>1042</v>
      </c>
      <c r="CD57" s="190" t="s">
        <v>1042</v>
      </c>
      <c r="CE57" s="190" t="s">
        <v>1042</v>
      </c>
      <c r="CF57" s="190" t="s">
        <v>1042</v>
      </c>
      <c r="CG57" s="190" t="s">
        <v>1042</v>
      </c>
      <c r="CH57" s="190" t="s">
        <v>1042</v>
      </c>
      <c r="CI57" s="190" t="s">
        <v>1042</v>
      </c>
      <c r="CJ57" s="190" t="s">
        <v>1042</v>
      </c>
      <c r="CK57" s="190" t="s">
        <v>1042</v>
      </c>
      <c r="CL57" s="190" t="s">
        <v>1042</v>
      </c>
      <c r="CM57" s="190" t="s">
        <v>1042</v>
      </c>
      <c r="CN57" s="190" t="s">
        <v>1042</v>
      </c>
      <c r="CO57" s="190" t="s">
        <v>1042</v>
      </c>
      <c r="CP57" s="190" t="s">
        <v>1042</v>
      </c>
      <c r="CQ57" s="190" t="s">
        <v>1042</v>
      </c>
      <c r="CR57" s="190"/>
      <c r="CS57" s="190" t="s">
        <v>1002</v>
      </c>
      <c r="CT57" s="190" t="s">
        <v>1002</v>
      </c>
      <c r="CU57" s="190" t="s">
        <v>1030</v>
      </c>
      <c r="CV57" s="190" t="s">
        <v>1007</v>
      </c>
      <c r="CW57" s="190"/>
      <c r="CX57" s="190" t="s">
        <v>1002</v>
      </c>
      <c r="CY57" s="190" t="s">
        <v>1042</v>
      </c>
      <c r="CZ57" s="190" t="s">
        <v>1042</v>
      </c>
      <c r="DA57" s="190" t="s">
        <v>1002</v>
      </c>
      <c r="DB57" s="190" t="s">
        <v>1042</v>
      </c>
      <c r="DC57" s="190" t="s">
        <v>1042</v>
      </c>
      <c r="DD57" s="190" t="s">
        <v>1042</v>
      </c>
      <c r="DE57" s="190"/>
      <c r="DF57" s="174">
        <v>56</v>
      </c>
      <c r="DH57" s="268"/>
      <c r="DI57" s="268"/>
      <c r="DJ57" s="268"/>
      <c r="DK57" s="268"/>
      <c r="DL57" s="268"/>
      <c r="DM57" s="268"/>
      <c r="DN57" s="268"/>
      <c r="DO57" s="268"/>
      <c r="DP57" s="268"/>
      <c r="DQ57" s="268"/>
      <c r="DR57" s="268"/>
      <c r="DS57" s="268"/>
      <c r="DT57" s="268"/>
      <c r="DU57" s="268"/>
      <c r="DV57" s="268"/>
      <c r="DW57" s="268"/>
      <c r="DX57" s="268"/>
      <c r="DY57" s="268"/>
      <c r="DZ57" s="268"/>
      <c r="EA57" s="268"/>
      <c r="EB57" s="268">
        <f t="shared" si="110"/>
        <v>0</v>
      </c>
      <c r="FB57" s="174" t="s">
        <v>422</v>
      </c>
      <c r="FM57" s="174" t="s">
        <v>422</v>
      </c>
      <c r="HA57" s="174">
        <v>7</v>
      </c>
      <c r="HB57" s="197">
        <v>54</v>
      </c>
      <c r="HC57" s="194">
        <v>47</v>
      </c>
      <c r="HD57" s="238">
        <v>72</v>
      </c>
      <c r="HE57" s="236">
        <v>25</v>
      </c>
      <c r="HF57" s="183">
        <v>119</v>
      </c>
      <c r="HG57" s="193">
        <f t="shared" si="3"/>
        <v>114</v>
      </c>
      <c r="HH57" s="192" t="e">
        <f t="shared" si="109"/>
        <v>#REF!</v>
      </c>
      <c r="HI57" s="198">
        <v>25</v>
      </c>
      <c r="HJ57" s="185">
        <v>117</v>
      </c>
      <c r="HK57" s="174">
        <v>55</v>
      </c>
      <c r="HL57" s="174">
        <f t="shared" si="83"/>
        <v>290</v>
      </c>
      <c r="HM57" s="174">
        <f t="shared" si="84"/>
        <v>280</v>
      </c>
      <c r="HN57" s="174">
        <f t="shared" si="85"/>
        <v>235</v>
      </c>
      <c r="HO57" s="174">
        <f t="shared" si="86"/>
        <v>200</v>
      </c>
      <c r="HP57" s="174">
        <f t="shared" si="87"/>
        <v>175</v>
      </c>
      <c r="HQ57" s="174">
        <f t="shared" si="88"/>
        <v>165</v>
      </c>
      <c r="HR57" s="174">
        <f t="shared" si="89"/>
        <v>165</v>
      </c>
      <c r="HS57" s="174">
        <f t="shared" si="90"/>
        <v>155</v>
      </c>
      <c r="HT57" s="174">
        <f t="shared" si="91"/>
        <v>145</v>
      </c>
      <c r="HU57" s="174">
        <f t="shared" si="92"/>
        <v>225</v>
      </c>
      <c r="HV57" s="174">
        <f t="shared" si="93"/>
        <v>165</v>
      </c>
      <c r="HW57" s="174">
        <f t="shared" si="94"/>
        <v>155</v>
      </c>
      <c r="HX57" s="174">
        <f t="shared" si="95"/>
        <v>180</v>
      </c>
      <c r="HY57" s="174">
        <f t="shared" si="96"/>
        <v>145</v>
      </c>
      <c r="HZ57" s="174">
        <f t="shared" si="97"/>
        <v>135</v>
      </c>
      <c r="IA57" s="174">
        <f t="shared" si="98"/>
        <v>125</v>
      </c>
      <c r="IB57" s="174">
        <f t="shared" si="99"/>
        <v>170</v>
      </c>
      <c r="IC57" s="174">
        <f t="shared" si="100"/>
        <v>150</v>
      </c>
      <c r="ID57" s="174">
        <f t="shared" si="101"/>
        <v>115</v>
      </c>
      <c r="IE57" s="174">
        <f t="shared" si="102"/>
        <v>140</v>
      </c>
      <c r="IF57" s="174">
        <f t="shared" si="103"/>
        <v>115</v>
      </c>
      <c r="IG57" s="174">
        <f t="shared" si="104"/>
        <v>95</v>
      </c>
      <c r="IH57" s="174">
        <f t="shared" si="105"/>
        <v>85</v>
      </c>
      <c r="II57" s="174">
        <f t="shared" si="106"/>
        <v>65</v>
      </c>
      <c r="IJ57" s="174">
        <v>57</v>
      </c>
      <c r="IR57" s="174">
        <v>2250000</v>
      </c>
      <c r="IS57" s="174">
        <v>55</v>
      </c>
    </row>
    <row r="58" spans="1:255" ht="13.35" customHeight="1" x14ac:dyDescent="0.2">
      <c r="A58" s="183">
        <f t="shared" si="107"/>
        <v>57</v>
      </c>
      <c r="B58" s="183">
        <v>0</v>
      </c>
      <c r="C58" s="183">
        <f t="shared" si="108"/>
        <v>57</v>
      </c>
      <c r="U58" s="190"/>
      <c r="DF58" s="174">
        <v>57</v>
      </c>
      <c r="DH58" s="268"/>
      <c r="DI58" s="268"/>
      <c r="DJ58" s="268"/>
      <c r="DK58" s="268"/>
      <c r="DL58" s="268"/>
      <c r="DM58" s="268"/>
      <c r="DN58" s="268"/>
      <c r="DO58" s="268"/>
      <c r="DP58" s="268"/>
      <c r="DQ58" s="268"/>
      <c r="DR58" s="268"/>
      <c r="DS58" s="268"/>
      <c r="DT58" s="268"/>
      <c r="DU58" s="268"/>
      <c r="DV58" s="268"/>
      <c r="DW58" s="268"/>
      <c r="DX58" s="268"/>
      <c r="DY58" s="268"/>
      <c r="DZ58" s="268"/>
      <c r="EA58" s="268"/>
      <c r="EB58" s="268">
        <f t="shared" si="110"/>
        <v>0</v>
      </c>
      <c r="FM58" s="174" t="s">
        <v>423</v>
      </c>
      <c r="HA58" s="174">
        <v>8</v>
      </c>
      <c r="HB58" s="197">
        <v>55</v>
      </c>
      <c r="HC58" s="194">
        <v>48</v>
      </c>
      <c r="HD58" s="238">
        <v>73</v>
      </c>
      <c r="HE58" s="236">
        <v>25</v>
      </c>
      <c r="HF58" s="183">
        <v>120</v>
      </c>
      <c r="HG58" s="193">
        <f t="shared" si="3"/>
        <v>115</v>
      </c>
      <c r="HH58" s="192" t="e">
        <f t="shared" si="109"/>
        <v>#REF!</v>
      </c>
      <c r="HI58" s="198">
        <v>25</v>
      </c>
      <c r="HJ58" s="185">
        <v>117.5</v>
      </c>
      <c r="HK58" s="174">
        <v>56</v>
      </c>
      <c r="HL58" s="174">
        <f t="shared" si="83"/>
        <v>294</v>
      </c>
      <c r="HM58" s="174">
        <f t="shared" si="84"/>
        <v>284</v>
      </c>
      <c r="HN58" s="174">
        <f t="shared" si="85"/>
        <v>238</v>
      </c>
      <c r="HO58" s="174">
        <f t="shared" si="86"/>
        <v>202</v>
      </c>
      <c r="HP58" s="174">
        <f t="shared" si="87"/>
        <v>176</v>
      </c>
      <c r="HQ58" s="174">
        <f t="shared" si="88"/>
        <v>166</v>
      </c>
      <c r="HR58" s="174">
        <f t="shared" si="89"/>
        <v>166</v>
      </c>
      <c r="HS58" s="174">
        <f t="shared" si="90"/>
        <v>156</v>
      </c>
      <c r="HT58" s="174">
        <f t="shared" si="91"/>
        <v>146</v>
      </c>
      <c r="HU58" s="174">
        <f t="shared" si="92"/>
        <v>228</v>
      </c>
      <c r="HV58" s="174">
        <f t="shared" si="93"/>
        <v>166</v>
      </c>
      <c r="HW58" s="174">
        <f t="shared" si="94"/>
        <v>156</v>
      </c>
      <c r="HX58" s="174">
        <f t="shared" si="95"/>
        <v>182</v>
      </c>
      <c r="HY58" s="174">
        <f t="shared" si="96"/>
        <v>146</v>
      </c>
      <c r="HZ58" s="174">
        <f t="shared" si="97"/>
        <v>136</v>
      </c>
      <c r="IA58" s="174">
        <f t="shared" si="98"/>
        <v>126</v>
      </c>
      <c r="IB58" s="174">
        <f t="shared" si="99"/>
        <v>172</v>
      </c>
      <c r="IC58" s="174">
        <f t="shared" si="100"/>
        <v>152</v>
      </c>
      <c r="ID58" s="174">
        <f t="shared" si="101"/>
        <v>116</v>
      </c>
      <c r="IE58" s="174">
        <f t="shared" si="102"/>
        <v>142</v>
      </c>
      <c r="IF58" s="174">
        <f t="shared" si="103"/>
        <v>116</v>
      </c>
      <c r="IG58" s="174">
        <f t="shared" si="104"/>
        <v>96</v>
      </c>
      <c r="IH58" s="174">
        <f t="shared" si="105"/>
        <v>86</v>
      </c>
      <c r="II58" s="174">
        <f t="shared" si="106"/>
        <v>66</v>
      </c>
      <c r="IJ58" s="174">
        <v>58</v>
      </c>
      <c r="IR58" s="174">
        <v>2300000</v>
      </c>
      <c r="IS58" s="174">
        <v>56</v>
      </c>
    </row>
    <row r="59" spans="1:255" ht="13.35" customHeight="1" x14ac:dyDescent="0.2">
      <c r="A59" s="183">
        <f t="shared" si="107"/>
        <v>58</v>
      </c>
      <c r="B59" s="183">
        <v>0</v>
      </c>
      <c r="C59" s="183">
        <f t="shared" si="108"/>
        <v>58</v>
      </c>
      <c r="E59" s="174" t="s">
        <v>1148</v>
      </c>
      <c r="F59" s="174" t="s">
        <v>782</v>
      </c>
      <c r="G59" s="174" t="s">
        <v>783</v>
      </c>
      <c r="H59" s="174" t="s">
        <v>784</v>
      </c>
      <c r="I59" s="174" t="s">
        <v>785</v>
      </c>
      <c r="J59" s="174" t="s">
        <v>786</v>
      </c>
      <c r="K59" s="174" t="s">
        <v>787</v>
      </c>
      <c r="L59" s="174" t="s">
        <v>788</v>
      </c>
      <c r="M59" s="174" t="s">
        <v>789</v>
      </c>
      <c r="N59" s="174" t="s">
        <v>790</v>
      </c>
      <c r="O59" s="174" t="s">
        <v>791</v>
      </c>
      <c r="P59" s="174" t="s">
        <v>792</v>
      </c>
      <c r="Q59" s="174" t="s">
        <v>793</v>
      </c>
      <c r="R59" s="174" t="s">
        <v>794</v>
      </c>
      <c r="S59" s="174" t="s">
        <v>182</v>
      </c>
      <c r="T59" s="174" t="s">
        <v>795</v>
      </c>
      <c r="U59" s="174" t="s">
        <v>796</v>
      </c>
      <c r="V59" s="174" t="s">
        <v>797</v>
      </c>
      <c r="W59" s="174" t="s">
        <v>798</v>
      </c>
      <c r="X59" s="174" t="s">
        <v>799</v>
      </c>
      <c r="Y59" s="174" t="s">
        <v>800</v>
      </c>
      <c r="AA59" s="174" t="str">
        <f>AA2</f>
        <v>Arcanist (AC)</v>
      </c>
      <c r="AB59" s="174" t="str">
        <f>AB2</f>
        <v>Wizard (AC)</v>
      </c>
      <c r="AC59" s="174" t="str">
        <f>AC2</f>
        <v>Chaotic (AC)</v>
      </c>
      <c r="AD59" s="174" t="str">
        <f>AD2</f>
        <v>Magehunter (AC)</v>
      </c>
      <c r="AF59" s="174" t="s">
        <v>805</v>
      </c>
      <c r="AG59" s="174" t="s">
        <v>806</v>
      </c>
      <c r="AH59" s="174" t="s">
        <v>807</v>
      </c>
      <c r="AJ59" s="174" t="s">
        <v>808</v>
      </c>
      <c r="AK59" s="174" t="s">
        <v>809</v>
      </c>
      <c r="AL59" s="174" t="s">
        <v>810</v>
      </c>
      <c r="AM59" s="174" t="s">
        <v>811</v>
      </c>
      <c r="AO59" s="174" t="s">
        <v>812</v>
      </c>
      <c r="AP59" s="174" t="s">
        <v>813</v>
      </c>
      <c r="AQ59" s="174" t="s">
        <v>814</v>
      </c>
      <c r="AS59" s="174" t="s">
        <v>815</v>
      </c>
      <c r="AT59" s="174" t="s">
        <v>816</v>
      </c>
      <c r="AU59" s="174" t="s">
        <v>817</v>
      </c>
      <c r="AV59" s="174" t="s">
        <v>818</v>
      </c>
      <c r="AW59" s="174" t="s">
        <v>819</v>
      </c>
      <c r="AX59" s="174" t="str">
        <f t="shared" ref="AX59:CQ59" si="113">AX2</f>
        <v>Priest of Community</v>
      </c>
      <c r="AY59" s="174" t="str">
        <f t="shared" si="113"/>
        <v>Priest of Competition</v>
      </c>
      <c r="AZ59" s="174" t="str">
        <f t="shared" si="113"/>
        <v>Priest of Crafts</v>
      </c>
      <c r="BA59" s="174" t="str">
        <f t="shared" si="113"/>
        <v>Priest of Culture</v>
      </c>
      <c r="BB59" s="174" t="str">
        <f t="shared" si="113"/>
        <v>Priest of Darkness, Night</v>
      </c>
      <c r="BC59" s="174" t="str">
        <f t="shared" si="113"/>
        <v>Priest of Dawn</v>
      </c>
      <c r="BD59" s="174" t="str">
        <f t="shared" si="113"/>
        <v>Priest of Death</v>
      </c>
      <c r="BE59" s="174" t="str">
        <f t="shared" si="113"/>
        <v>Priest of Disease</v>
      </c>
      <c r="BF59" s="174" t="str">
        <f t="shared" si="113"/>
        <v>Priest of Earth</v>
      </c>
      <c r="BG59" s="174" t="str">
        <f t="shared" si="113"/>
        <v>Priest of Fate, Destiny</v>
      </c>
      <c r="BH59" s="174" t="str">
        <f t="shared" si="113"/>
        <v>Priest of Fertility</v>
      </c>
      <c r="BI59" s="174" t="str">
        <f t="shared" si="113"/>
        <v>Priest of Fire</v>
      </c>
      <c r="BJ59" s="174" t="str">
        <f t="shared" si="113"/>
        <v>Priest of Fortune, Luck</v>
      </c>
      <c r="BK59" s="174" t="str">
        <f t="shared" si="113"/>
        <v>Priest of Guardianship</v>
      </c>
      <c r="BL59" s="174" t="str">
        <f t="shared" si="113"/>
        <v>Priest of Healing</v>
      </c>
      <c r="BM59" s="174" t="str">
        <f t="shared" si="113"/>
        <v>Priest of Hunting</v>
      </c>
      <c r="BN59" s="174" t="str">
        <f t="shared" si="113"/>
        <v>Priest of Justice, Revenge</v>
      </c>
      <c r="BO59" s="174" t="str">
        <f t="shared" si="113"/>
        <v>Priest of Light</v>
      </c>
      <c r="BP59" s="174" t="str">
        <f t="shared" si="113"/>
        <v>Priest of Lightning</v>
      </c>
      <c r="BQ59" s="174" t="str">
        <f t="shared" si="113"/>
        <v>Priest of Literature</v>
      </c>
      <c r="BR59" s="174" t="str">
        <f t="shared" si="113"/>
        <v>Priest of Love</v>
      </c>
      <c r="BS59" s="174" t="str">
        <f t="shared" si="113"/>
        <v>Priest of Magic</v>
      </c>
      <c r="BT59" s="174" t="str">
        <f t="shared" si="113"/>
        <v>Priest of Marriage</v>
      </c>
      <c r="BU59" s="174" t="str">
        <f t="shared" si="113"/>
        <v>Priest of Messengers</v>
      </c>
      <c r="BV59" s="174" t="str">
        <f t="shared" si="113"/>
        <v>Priest of Metalwork</v>
      </c>
      <c r="BW59" s="174" t="str">
        <f t="shared" si="113"/>
        <v>Priest of Mischief/Trickery</v>
      </c>
      <c r="BX59" s="174" t="str">
        <f t="shared" si="113"/>
        <v>Priest of Moon</v>
      </c>
      <c r="BY59" s="174" t="str">
        <f t="shared" si="113"/>
        <v>Priest of Music, Dance</v>
      </c>
      <c r="BZ59" s="174" t="str">
        <f t="shared" si="113"/>
        <v>Priest of Nature</v>
      </c>
      <c r="CA59" s="174" t="str">
        <f t="shared" si="113"/>
        <v>Priest of Ocean, Rivers</v>
      </c>
      <c r="CB59" s="174" t="str">
        <f t="shared" si="113"/>
        <v>Priest of Oracles</v>
      </c>
      <c r="CC59" s="174" t="str">
        <f t="shared" si="113"/>
        <v>Priest of Peace</v>
      </c>
      <c r="CD59" s="174" t="str">
        <f t="shared" si="113"/>
        <v>Priest of Prosperity</v>
      </c>
      <c r="CE59" s="174" t="str">
        <f t="shared" si="113"/>
        <v>Priest of Redemption</v>
      </c>
      <c r="CF59" s="174" t="str">
        <f t="shared" si="113"/>
        <v>Priest of Rulership</v>
      </c>
      <c r="CG59" s="174" t="str">
        <f t="shared" si="113"/>
        <v>Priest of Seasons</v>
      </c>
      <c r="CH59" s="174" t="str">
        <f t="shared" si="113"/>
        <v>Priest of Sky, Weather</v>
      </c>
      <c r="CI59" s="174" t="str">
        <f t="shared" si="113"/>
        <v>Priest of Strength</v>
      </c>
      <c r="CJ59" s="174" t="str">
        <f t="shared" si="113"/>
        <v>Priest of Sun</v>
      </c>
      <c r="CK59" s="174" t="str">
        <f t="shared" si="113"/>
        <v>Priest of Thunder</v>
      </c>
      <c r="CL59" s="174" t="str">
        <f t="shared" si="113"/>
        <v>Priest of Time</v>
      </c>
      <c r="CM59" s="174" t="str">
        <f t="shared" si="113"/>
        <v>Priest of Trade</v>
      </c>
      <c r="CN59" s="174" t="str">
        <f t="shared" si="113"/>
        <v>Priest of Vegetation</v>
      </c>
      <c r="CO59" s="174" t="str">
        <f t="shared" si="113"/>
        <v>Priest of War</v>
      </c>
      <c r="CP59" s="174" t="str">
        <f t="shared" si="113"/>
        <v>Priest of Wind</v>
      </c>
      <c r="CQ59" s="174" t="str">
        <f t="shared" si="113"/>
        <v>Priest of Wisdom</v>
      </c>
      <c r="CS59" s="174" t="str">
        <f>CS2</f>
        <v>Barbarian (FRP)</v>
      </c>
      <c r="CT59" s="174" t="str">
        <f>CT2</f>
        <v>Outrider (FRP)</v>
      </c>
      <c r="CU59" s="174" t="str">
        <f>CU2</f>
        <v>Sage (FRP)</v>
      </c>
      <c r="CV59" s="174" t="str">
        <f>CV2</f>
        <v>Swashbuckler (FRP)</v>
      </c>
      <c r="CX59" s="174" t="s">
        <v>870</v>
      </c>
      <c r="CY59" s="174" t="s">
        <v>871</v>
      </c>
      <c r="CZ59" s="174" t="s">
        <v>872</v>
      </c>
      <c r="DA59" s="174" t="s">
        <v>1149</v>
      </c>
      <c r="DB59" s="174" t="s">
        <v>874</v>
      </c>
      <c r="DC59" s="174" t="s">
        <v>875</v>
      </c>
      <c r="DD59" s="174" t="s">
        <v>876</v>
      </c>
      <c r="DE59" s="174" t="str">
        <f>DE2</f>
        <v>NEW PROF</v>
      </c>
      <c r="DH59" s="268"/>
      <c r="DI59" s="268"/>
      <c r="DJ59" s="268"/>
      <c r="DK59" s="268"/>
      <c r="DL59" s="268"/>
      <c r="DM59" s="268"/>
      <c r="DN59" s="268"/>
      <c r="DO59" s="268"/>
      <c r="DP59" s="268"/>
      <c r="DQ59" s="268"/>
      <c r="DR59" s="268"/>
      <c r="DS59" s="268"/>
      <c r="DT59" s="268"/>
      <c r="DU59" s="268"/>
      <c r="DV59" s="268"/>
      <c r="DW59" s="268"/>
      <c r="DX59" s="268"/>
      <c r="DY59" s="268"/>
      <c r="DZ59" s="268"/>
      <c r="EA59" s="268"/>
      <c r="EB59" s="268">
        <f t="shared" si="110"/>
        <v>0</v>
      </c>
      <c r="HA59" s="174">
        <v>9</v>
      </c>
      <c r="HB59" s="197">
        <v>56</v>
      </c>
      <c r="HC59" s="194">
        <v>48</v>
      </c>
      <c r="HD59" s="238">
        <v>73</v>
      </c>
      <c r="HE59" s="236">
        <v>25</v>
      </c>
      <c r="HF59" s="183">
        <v>121</v>
      </c>
      <c r="HG59" s="193">
        <f t="shared" si="3"/>
        <v>116</v>
      </c>
      <c r="HH59" s="192" t="e">
        <f t="shared" si="109"/>
        <v>#REF!</v>
      </c>
      <c r="HI59" s="198">
        <v>25</v>
      </c>
      <c r="HJ59" s="185">
        <v>118</v>
      </c>
      <c r="HK59" s="174">
        <v>57</v>
      </c>
      <c r="HL59" s="174">
        <f t="shared" si="83"/>
        <v>298</v>
      </c>
      <c r="HM59" s="174">
        <f t="shared" si="84"/>
        <v>288</v>
      </c>
      <c r="HN59" s="174">
        <f t="shared" si="85"/>
        <v>241</v>
      </c>
      <c r="HO59" s="174">
        <f t="shared" si="86"/>
        <v>204</v>
      </c>
      <c r="HP59" s="174">
        <f t="shared" si="87"/>
        <v>177</v>
      </c>
      <c r="HQ59" s="174">
        <f t="shared" si="88"/>
        <v>167</v>
      </c>
      <c r="HR59" s="174">
        <f t="shared" si="89"/>
        <v>167</v>
      </c>
      <c r="HS59" s="174">
        <f t="shared" si="90"/>
        <v>157</v>
      </c>
      <c r="HT59" s="174">
        <f t="shared" si="91"/>
        <v>147</v>
      </c>
      <c r="HU59" s="174">
        <f t="shared" si="92"/>
        <v>231</v>
      </c>
      <c r="HV59" s="174">
        <f t="shared" si="93"/>
        <v>167</v>
      </c>
      <c r="HW59" s="174">
        <f t="shared" si="94"/>
        <v>157</v>
      </c>
      <c r="HX59" s="174">
        <f t="shared" si="95"/>
        <v>184</v>
      </c>
      <c r="HY59" s="174">
        <f t="shared" si="96"/>
        <v>147</v>
      </c>
      <c r="HZ59" s="174">
        <f t="shared" si="97"/>
        <v>137</v>
      </c>
      <c r="IA59" s="174">
        <f t="shared" si="98"/>
        <v>127</v>
      </c>
      <c r="IB59" s="174">
        <f t="shared" si="99"/>
        <v>174</v>
      </c>
      <c r="IC59" s="174">
        <f t="shared" si="100"/>
        <v>154</v>
      </c>
      <c r="ID59" s="174">
        <f t="shared" si="101"/>
        <v>117</v>
      </c>
      <c r="IE59" s="174">
        <f t="shared" si="102"/>
        <v>144</v>
      </c>
      <c r="IF59" s="174">
        <f t="shared" si="103"/>
        <v>117</v>
      </c>
      <c r="IG59" s="174">
        <f t="shared" si="104"/>
        <v>97</v>
      </c>
      <c r="IH59" s="174">
        <f t="shared" si="105"/>
        <v>87</v>
      </c>
      <c r="II59" s="174">
        <f t="shared" si="106"/>
        <v>67</v>
      </c>
      <c r="IJ59" s="174">
        <v>59</v>
      </c>
      <c r="IR59" s="174">
        <v>2350000</v>
      </c>
      <c r="IS59" s="174">
        <v>57</v>
      </c>
    </row>
    <row r="60" spans="1:255" ht="13.35" customHeight="1" x14ac:dyDescent="0.2">
      <c r="A60" s="183">
        <f t="shared" si="107"/>
        <v>59</v>
      </c>
      <c r="B60" s="183">
        <v>0</v>
      </c>
      <c r="C60" s="183">
        <f t="shared" si="108"/>
        <v>59</v>
      </c>
      <c r="D60" s="174">
        <v>3</v>
      </c>
      <c r="E60" s="189" t="s">
        <v>399</v>
      </c>
      <c r="F60" s="174">
        <v>10</v>
      </c>
      <c r="H60" s="174">
        <v>5</v>
      </c>
      <c r="U60" s="174">
        <v>5</v>
      </c>
      <c r="AD60" s="174">
        <v>5</v>
      </c>
      <c r="AJ60" s="174">
        <v>10</v>
      </c>
      <c r="AX60" s="174">
        <v>10</v>
      </c>
      <c r="AY60" s="174">
        <v>10</v>
      </c>
      <c r="AZ60" s="174">
        <v>5</v>
      </c>
      <c r="BA60" s="174">
        <v>10</v>
      </c>
      <c r="BE60" s="174">
        <v>5</v>
      </c>
      <c r="BF60" s="174">
        <v>5</v>
      </c>
      <c r="BG60" s="174">
        <v>5</v>
      </c>
      <c r="BI60" s="174">
        <v>10</v>
      </c>
      <c r="BK60" s="174">
        <v>10</v>
      </c>
      <c r="BN60" s="174">
        <v>10</v>
      </c>
      <c r="BP60" s="174">
        <v>10</v>
      </c>
      <c r="BT60" s="174">
        <v>5</v>
      </c>
      <c r="BV60" s="174">
        <v>10</v>
      </c>
      <c r="BX60" s="174">
        <v>5</v>
      </c>
      <c r="BY60" s="174">
        <v>5</v>
      </c>
      <c r="BZ60" s="174">
        <v>5</v>
      </c>
      <c r="CC60" s="174">
        <v>10</v>
      </c>
      <c r="CD60" s="174">
        <v>10</v>
      </c>
      <c r="CE60" s="174">
        <v>10</v>
      </c>
      <c r="CF60" s="174">
        <v>10</v>
      </c>
      <c r="CH60" s="174">
        <v>5</v>
      </c>
      <c r="CI60" s="174">
        <v>10</v>
      </c>
      <c r="CJ60" s="174">
        <v>10</v>
      </c>
      <c r="CK60" s="174">
        <v>10</v>
      </c>
      <c r="CL60" s="174">
        <v>5</v>
      </c>
      <c r="CM60" s="174">
        <v>10</v>
      </c>
      <c r="CO60" s="174">
        <v>10</v>
      </c>
      <c r="CP60" s="174">
        <v>5</v>
      </c>
      <c r="CQ60" s="174">
        <v>10</v>
      </c>
      <c r="CT60" s="174">
        <v>5</v>
      </c>
      <c r="CV60" s="174">
        <v>5</v>
      </c>
      <c r="DH60" s="268"/>
      <c r="DI60" s="268"/>
      <c r="DJ60" s="268"/>
      <c r="DK60" s="268"/>
      <c r="DL60" s="268"/>
      <c r="DM60" s="268"/>
      <c r="DN60" s="268"/>
      <c r="DO60" s="268"/>
      <c r="DP60" s="268"/>
      <c r="DQ60" s="268"/>
      <c r="DR60" s="268"/>
      <c r="DS60" s="268"/>
      <c r="DT60" s="268"/>
      <c r="DU60" s="268"/>
      <c r="DV60" s="268"/>
      <c r="DW60" s="268"/>
      <c r="DX60" s="268"/>
      <c r="DY60" s="268"/>
      <c r="DZ60" s="268"/>
      <c r="EA60" s="268"/>
      <c r="EB60" s="268">
        <f t="shared" si="110"/>
        <v>0</v>
      </c>
      <c r="HA60" s="174">
        <v>10</v>
      </c>
      <c r="HB60" s="197">
        <v>57</v>
      </c>
      <c r="HC60" s="194">
        <v>49</v>
      </c>
      <c r="HD60" s="238">
        <v>74</v>
      </c>
      <c r="HE60" s="236">
        <v>25</v>
      </c>
      <c r="HF60" s="183">
        <v>122</v>
      </c>
      <c r="HG60" s="193">
        <f t="shared" si="3"/>
        <v>117</v>
      </c>
      <c r="HH60" s="192" t="e">
        <f t="shared" si="109"/>
        <v>#REF!</v>
      </c>
      <c r="HI60" s="198">
        <v>25</v>
      </c>
      <c r="HJ60" s="185">
        <v>118.5</v>
      </c>
      <c r="HK60" s="174">
        <v>58</v>
      </c>
      <c r="HL60" s="174">
        <f t="shared" si="83"/>
        <v>302</v>
      </c>
      <c r="HM60" s="174">
        <f t="shared" si="84"/>
        <v>292</v>
      </c>
      <c r="HN60" s="174">
        <f t="shared" si="85"/>
        <v>244</v>
      </c>
      <c r="HO60" s="174">
        <f t="shared" si="86"/>
        <v>206</v>
      </c>
      <c r="HP60" s="174">
        <f t="shared" si="87"/>
        <v>178</v>
      </c>
      <c r="HQ60" s="174">
        <f t="shared" si="88"/>
        <v>168</v>
      </c>
      <c r="HR60" s="174">
        <f t="shared" si="89"/>
        <v>168</v>
      </c>
      <c r="HS60" s="174">
        <f t="shared" si="90"/>
        <v>158</v>
      </c>
      <c r="HT60" s="174">
        <f t="shared" si="91"/>
        <v>148</v>
      </c>
      <c r="HU60" s="174">
        <f t="shared" si="92"/>
        <v>234</v>
      </c>
      <c r="HV60" s="174">
        <f t="shared" si="93"/>
        <v>168</v>
      </c>
      <c r="HW60" s="174">
        <f t="shared" si="94"/>
        <v>158</v>
      </c>
      <c r="HX60" s="174">
        <f t="shared" si="95"/>
        <v>186</v>
      </c>
      <c r="HY60" s="174">
        <f t="shared" si="96"/>
        <v>148</v>
      </c>
      <c r="HZ60" s="174">
        <f t="shared" si="97"/>
        <v>138</v>
      </c>
      <c r="IA60" s="174">
        <f t="shared" si="98"/>
        <v>128</v>
      </c>
      <c r="IB60" s="174">
        <f t="shared" si="99"/>
        <v>176</v>
      </c>
      <c r="IC60" s="174">
        <f t="shared" si="100"/>
        <v>156</v>
      </c>
      <c r="ID60" s="174">
        <f t="shared" si="101"/>
        <v>118</v>
      </c>
      <c r="IE60" s="174">
        <f t="shared" si="102"/>
        <v>146</v>
      </c>
      <c r="IF60" s="174">
        <f t="shared" si="103"/>
        <v>118</v>
      </c>
      <c r="IG60" s="174">
        <f t="shared" si="104"/>
        <v>98</v>
      </c>
      <c r="IH60" s="174">
        <f t="shared" si="105"/>
        <v>88</v>
      </c>
      <c r="II60" s="174">
        <f t="shared" si="106"/>
        <v>68</v>
      </c>
      <c r="IJ60" s="174">
        <v>60</v>
      </c>
      <c r="IR60" s="174">
        <v>2400000</v>
      </c>
      <c r="IS60" s="174">
        <v>58</v>
      </c>
    </row>
    <row r="61" spans="1:255" ht="13.35" customHeight="1" x14ac:dyDescent="0.2">
      <c r="A61" s="183">
        <f t="shared" si="107"/>
        <v>60</v>
      </c>
      <c r="B61" s="183">
        <v>0</v>
      </c>
      <c r="C61" s="183">
        <f t="shared" si="108"/>
        <v>60</v>
      </c>
      <c r="D61" s="174">
        <v>4</v>
      </c>
      <c r="E61" s="196" t="s">
        <v>405</v>
      </c>
      <c r="F61" s="174">
        <v>10</v>
      </c>
      <c r="H61" s="174">
        <v>5</v>
      </c>
      <c r="U61" s="174">
        <v>5</v>
      </c>
      <c r="AD61" s="174">
        <v>5</v>
      </c>
      <c r="AJ61" s="174">
        <v>10</v>
      </c>
      <c r="AX61" s="174">
        <v>10</v>
      </c>
      <c r="AY61" s="174">
        <v>10</v>
      </c>
      <c r="AZ61" s="174">
        <v>5</v>
      </c>
      <c r="BA61" s="174">
        <v>10</v>
      </c>
      <c r="BE61" s="174">
        <v>5</v>
      </c>
      <c r="BF61" s="174">
        <v>5</v>
      </c>
      <c r="BG61" s="174">
        <v>5</v>
      </c>
      <c r="BH61" s="174">
        <v>10</v>
      </c>
      <c r="BI61" s="174">
        <v>10</v>
      </c>
      <c r="BK61" s="174">
        <v>10</v>
      </c>
      <c r="BN61" s="174">
        <v>10</v>
      </c>
      <c r="BP61" s="174">
        <v>10</v>
      </c>
      <c r="BT61" s="174">
        <v>5</v>
      </c>
      <c r="BU61" s="174">
        <v>10</v>
      </c>
      <c r="BV61" s="174">
        <v>10</v>
      </c>
      <c r="BX61" s="174">
        <v>5</v>
      </c>
      <c r="BY61" s="174">
        <v>5</v>
      </c>
      <c r="BZ61" s="174">
        <v>5</v>
      </c>
      <c r="CC61" s="174">
        <v>10</v>
      </c>
      <c r="CD61" s="174">
        <v>10</v>
      </c>
      <c r="CE61" s="174">
        <v>10</v>
      </c>
      <c r="CF61" s="174">
        <v>10</v>
      </c>
      <c r="CH61" s="174">
        <v>5</v>
      </c>
      <c r="CI61" s="174">
        <v>10</v>
      </c>
      <c r="CJ61" s="174">
        <v>10</v>
      </c>
      <c r="CK61" s="174">
        <v>10</v>
      </c>
      <c r="CL61" s="174">
        <v>5</v>
      </c>
      <c r="CM61" s="174">
        <v>10</v>
      </c>
      <c r="CO61" s="174">
        <v>10</v>
      </c>
      <c r="CP61" s="174">
        <v>5</v>
      </c>
      <c r="CQ61" s="174">
        <v>10</v>
      </c>
      <c r="CT61" s="174">
        <v>5</v>
      </c>
      <c r="CV61" s="174">
        <v>5</v>
      </c>
      <c r="DH61" s="268"/>
      <c r="DI61" s="268"/>
      <c r="DJ61" s="268"/>
      <c r="DK61" s="268"/>
      <c r="DL61" s="268"/>
      <c r="DM61" s="268"/>
      <c r="DN61" s="268"/>
      <c r="DO61" s="268"/>
      <c r="DP61" s="268"/>
      <c r="DQ61" s="268"/>
      <c r="DR61" s="268"/>
      <c r="DS61" s="268"/>
      <c r="DT61" s="268"/>
      <c r="DU61" s="268"/>
      <c r="DV61" s="268"/>
      <c r="DW61" s="268"/>
      <c r="DX61" s="268"/>
      <c r="DY61" s="268"/>
      <c r="DZ61" s="268"/>
      <c r="EA61" s="268"/>
      <c r="EB61" s="268">
        <f t="shared" si="110"/>
        <v>0</v>
      </c>
      <c r="EN61" s="182" t="s">
        <v>1151</v>
      </c>
      <c r="EO61" s="268" t="s">
        <v>4193</v>
      </c>
      <c r="EP61" s="268" t="s">
        <v>916</v>
      </c>
      <c r="EQ61" s="268" t="s">
        <v>916</v>
      </c>
      <c r="ER61" s="268" t="s">
        <v>895</v>
      </c>
      <c r="ES61" s="268" t="s">
        <v>895</v>
      </c>
      <c r="ET61" s="268" t="s">
        <v>895</v>
      </c>
      <c r="EU61" s="268" t="s">
        <v>4055</v>
      </c>
      <c r="EV61" s="268" t="s">
        <v>4055</v>
      </c>
      <c r="EW61" s="268" t="s">
        <v>4055</v>
      </c>
      <c r="EX61" s="268" t="s">
        <v>4055</v>
      </c>
      <c r="EY61" s="268" t="s">
        <v>4055</v>
      </c>
      <c r="EZ61" s="268" t="s">
        <v>4055</v>
      </c>
      <c r="FA61" s="268" t="s">
        <v>4184</v>
      </c>
      <c r="FB61" s="268" t="s">
        <v>4184</v>
      </c>
      <c r="FC61" s="268" t="s">
        <v>4184</v>
      </c>
      <c r="FD61" s="268" t="s">
        <v>905</v>
      </c>
      <c r="FE61" s="268" t="s">
        <v>905</v>
      </c>
      <c r="FF61" s="268" t="s">
        <v>905</v>
      </c>
      <c r="FG61" s="268" t="s">
        <v>4186</v>
      </c>
      <c r="FH61" s="268" t="s">
        <v>4186</v>
      </c>
      <c r="FI61" s="268" t="s">
        <v>4186</v>
      </c>
      <c r="FJ61" s="268" t="s">
        <v>4186</v>
      </c>
      <c r="FK61" s="268" t="s">
        <v>4186</v>
      </c>
      <c r="FL61" s="268" t="s">
        <v>4186</v>
      </c>
      <c r="FM61" s="268" t="s">
        <v>4186</v>
      </c>
      <c r="FN61" s="268" t="s">
        <v>4186</v>
      </c>
      <c r="FO61" s="268" t="s">
        <v>4186</v>
      </c>
      <c r="FP61" s="268" t="s">
        <v>4186</v>
      </c>
      <c r="FQ61" s="268" t="s">
        <v>4186</v>
      </c>
      <c r="FR61" s="268" t="s">
        <v>4186</v>
      </c>
      <c r="FS61" s="268" t="s">
        <v>4186</v>
      </c>
      <c r="FT61" s="268" t="s">
        <v>4186</v>
      </c>
      <c r="FU61" s="268" t="s">
        <v>4186</v>
      </c>
      <c r="FV61" s="268" t="s">
        <v>4186</v>
      </c>
      <c r="FW61" s="268" t="s">
        <v>4186</v>
      </c>
      <c r="FX61" s="268" t="s">
        <v>4186</v>
      </c>
      <c r="FY61" s="268" t="s">
        <v>1013</v>
      </c>
      <c r="FZ61" s="268" t="s">
        <v>1013</v>
      </c>
      <c r="GA61" s="202"/>
      <c r="GB61" s="202"/>
      <c r="GC61" s="202"/>
      <c r="GD61" s="182"/>
      <c r="GE61" s="202"/>
      <c r="GF61" s="202"/>
      <c r="GG61" s="202"/>
      <c r="GH61" s="202"/>
      <c r="GI61" s="202"/>
      <c r="GJ61" s="202"/>
      <c r="GK61" s="202"/>
      <c r="GL61" s="202"/>
      <c r="GM61" s="202"/>
      <c r="GN61" s="202"/>
      <c r="GO61" s="202"/>
      <c r="GP61" s="202"/>
      <c r="GQ61" s="202"/>
      <c r="GR61" s="182"/>
      <c r="GS61" s="182"/>
      <c r="GT61" s="182"/>
      <c r="GU61" s="182"/>
      <c r="GV61" s="182"/>
      <c r="GW61" s="182"/>
      <c r="GX61" s="182"/>
      <c r="GY61" s="182"/>
      <c r="GZ61" s="182"/>
      <c r="HB61" s="197">
        <v>58</v>
      </c>
      <c r="HC61" s="194">
        <v>49</v>
      </c>
      <c r="HD61" s="238">
        <v>74</v>
      </c>
      <c r="HE61" s="236">
        <v>25</v>
      </c>
      <c r="HF61" s="183">
        <v>123</v>
      </c>
      <c r="HG61" s="193">
        <f t="shared" si="3"/>
        <v>118</v>
      </c>
      <c r="HH61" s="192" t="e">
        <f t="shared" si="109"/>
        <v>#REF!</v>
      </c>
      <c r="HI61" s="198">
        <v>25</v>
      </c>
      <c r="HJ61" s="185">
        <v>119</v>
      </c>
      <c r="HK61" s="174">
        <v>59</v>
      </c>
      <c r="HL61" s="174">
        <f t="shared" si="83"/>
        <v>306</v>
      </c>
      <c r="HM61" s="174">
        <f t="shared" si="84"/>
        <v>296</v>
      </c>
      <c r="HN61" s="174">
        <f t="shared" si="85"/>
        <v>247</v>
      </c>
      <c r="HO61" s="174">
        <f t="shared" si="86"/>
        <v>208</v>
      </c>
      <c r="HP61" s="174">
        <f t="shared" si="87"/>
        <v>179</v>
      </c>
      <c r="HQ61" s="174">
        <f t="shared" si="88"/>
        <v>169</v>
      </c>
      <c r="HR61" s="174">
        <f t="shared" si="89"/>
        <v>169</v>
      </c>
      <c r="HS61" s="174">
        <f t="shared" si="90"/>
        <v>159</v>
      </c>
      <c r="HT61" s="174">
        <f t="shared" si="91"/>
        <v>149</v>
      </c>
      <c r="HU61" s="174">
        <f t="shared" si="92"/>
        <v>237</v>
      </c>
      <c r="HV61" s="174">
        <f t="shared" si="93"/>
        <v>169</v>
      </c>
      <c r="HW61" s="174">
        <f t="shared" si="94"/>
        <v>159</v>
      </c>
      <c r="HX61" s="174">
        <f t="shared" si="95"/>
        <v>188</v>
      </c>
      <c r="HY61" s="174">
        <f t="shared" si="96"/>
        <v>149</v>
      </c>
      <c r="HZ61" s="174">
        <f t="shared" si="97"/>
        <v>139</v>
      </c>
      <c r="IA61" s="174">
        <f t="shared" si="98"/>
        <v>129</v>
      </c>
      <c r="IB61" s="174">
        <f t="shared" si="99"/>
        <v>178</v>
      </c>
      <c r="IC61" s="174">
        <f t="shared" si="100"/>
        <v>158</v>
      </c>
      <c r="ID61" s="174">
        <f t="shared" si="101"/>
        <v>119</v>
      </c>
      <c r="IE61" s="174">
        <f t="shared" si="102"/>
        <v>148</v>
      </c>
      <c r="IF61" s="174">
        <f t="shared" si="103"/>
        <v>119</v>
      </c>
      <c r="IG61" s="174">
        <f t="shared" si="104"/>
        <v>99</v>
      </c>
      <c r="IH61" s="174">
        <f t="shared" si="105"/>
        <v>89</v>
      </c>
      <c r="II61" s="174">
        <f t="shared" si="106"/>
        <v>69</v>
      </c>
      <c r="IJ61" s="174">
        <v>61</v>
      </c>
      <c r="IR61" s="174">
        <v>2450000</v>
      </c>
      <c r="IS61" s="174">
        <v>59</v>
      </c>
    </row>
    <row r="62" spans="1:255" ht="13.35" customHeight="1" x14ac:dyDescent="0.2">
      <c r="A62" s="183">
        <f t="shared" si="107"/>
        <v>61</v>
      </c>
      <c r="B62" s="183">
        <v>0</v>
      </c>
      <c r="C62" s="183">
        <f t="shared" si="108"/>
        <v>61</v>
      </c>
      <c r="D62" s="174">
        <v>5</v>
      </c>
      <c r="E62" s="196" t="s">
        <v>410</v>
      </c>
      <c r="F62" s="174">
        <v>10</v>
      </c>
      <c r="H62" s="174">
        <v>5</v>
      </c>
      <c r="U62" s="174">
        <v>5</v>
      </c>
      <c r="AD62" s="174">
        <v>5</v>
      </c>
      <c r="AJ62" s="174">
        <v>10</v>
      </c>
      <c r="AX62" s="174">
        <v>10</v>
      </c>
      <c r="AY62" s="174">
        <v>10</v>
      </c>
      <c r="AZ62" s="174">
        <v>5</v>
      </c>
      <c r="BA62" s="174">
        <v>10</v>
      </c>
      <c r="BE62" s="174">
        <v>5</v>
      </c>
      <c r="BF62" s="174">
        <v>5</v>
      </c>
      <c r="BG62" s="174">
        <v>5</v>
      </c>
      <c r="BI62" s="174">
        <v>10</v>
      </c>
      <c r="BK62" s="174">
        <v>10</v>
      </c>
      <c r="BN62" s="174">
        <v>10</v>
      </c>
      <c r="BP62" s="174">
        <v>10</v>
      </c>
      <c r="BT62" s="174">
        <v>5</v>
      </c>
      <c r="BV62" s="174">
        <v>10</v>
      </c>
      <c r="BX62" s="174">
        <v>5</v>
      </c>
      <c r="BY62" s="174">
        <v>5</v>
      </c>
      <c r="BZ62" s="174">
        <v>5</v>
      </c>
      <c r="CC62" s="174">
        <v>10</v>
      </c>
      <c r="CD62" s="174">
        <v>10</v>
      </c>
      <c r="CE62" s="174">
        <v>10</v>
      </c>
      <c r="CF62" s="174">
        <v>10</v>
      </c>
      <c r="CH62" s="174">
        <v>5</v>
      </c>
      <c r="CI62" s="174">
        <v>10</v>
      </c>
      <c r="CJ62" s="174">
        <v>10</v>
      </c>
      <c r="CK62" s="174">
        <v>10</v>
      </c>
      <c r="CL62" s="174">
        <v>5</v>
      </c>
      <c r="CM62" s="174">
        <v>10</v>
      </c>
      <c r="CO62" s="174">
        <v>10</v>
      </c>
      <c r="CP62" s="174">
        <v>5</v>
      </c>
      <c r="CQ62" s="174">
        <v>10</v>
      </c>
      <c r="CT62" s="174">
        <v>5</v>
      </c>
      <c r="CV62" s="174">
        <v>5</v>
      </c>
      <c r="DH62" s="268"/>
      <c r="DI62" s="268"/>
      <c r="DJ62" s="268"/>
      <c r="DK62" s="268"/>
      <c r="DL62" s="268"/>
      <c r="DM62" s="268"/>
      <c r="DN62" s="268"/>
      <c r="DO62" s="268"/>
      <c r="DP62" s="268"/>
      <c r="DQ62" s="268"/>
      <c r="DR62" s="268"/>
      <c r="DS62" s="268"/>
      <c r="DT62" s="268"/>
      <c r="DU62" s="268"/>
      <c r="DV62" s="268"/>
      <c r="DW62" s="268"/>
      <c r="DX62" s="268"/>
      <c r="DY62" s="268"/>
      <c r="DZ62" s="268"/>
      <c r="EA62" s="268"/>
      <c r="EB62" s="268">
        <f t="shared" si="110"/>
        <v>0</v>
      </c>
      <c r="EN62" s="182"/>
      <c r="EO62" s="268" t="s">
        <v>4193</v>
      </c>
      <c r="EP62" s="268" t="s">
        <v>977</v>
      </c>
      <c r="EQ62" s="268" t="s">
        <v>976</v>
      </c>
      <c r="ER62" s="268" t="s">
        <v>4360</v>
      </c>
      <c r="ES62" s="268" t="s">
        <v>4359</v>
      </c>
      <c r="ET62" s="268" t="s">
        <v>4364</v>
      </c>
      <c r="EU62" s="268" t="s">
        <v>4181</v>
      </c>
      <c r="EV62" s="268" t="s">
        <v>899</v>
      </c>
      <c r="EW62" s="268" t="s">
        <v>4172</v>
      </c>
      <c r="EX62" s="268" t="s">
        <v>4171</v>
      </c>
      <c r="EY62" s="268" t="s">
        <v>4180</v>
      </c>
      <c r="EZ62" s="268" t="s">
        <v>4173</v>
      </c>
      <c r="FA62" s="268" t="s">
        <v>4183</v>
      </c>
      <c r="FB62" s="268" t="s">
        <v>4349</v>
      </c>
      <c r="FC62" s="268" t="s">
        <v>4185</v>
      </c>
      <c r="FD62" s="268" t="s">
        <v>4361</v>
      </c>
      <c r="FE62" s="268" t="s">
        <v>4393</v>
      </c>
      <c r="FF62" s="268" t="s">
        <v>4371</v>
      </c>
      <c r="FG62" s="268" t="s">
        <v>4269</v>
      </c>
      <c r="FH62" s="268" t="s">
        <v>4197</v>
      </c>
      <c r="FI62" s="268" t="s">
        <v>4187</v>
      </c>
      <c r="FJ62" s="268" t="s">
        <v>4188</v>
      </c>
      <c r="FK62" s="268" t="s">
        <v>4195</v>
      </c>
      <c r="FL62" s="268" t="s">
        <v>4198</v>
      </c>
      <c r="FM62" s="268" t="s">
        <v>4199</v>
      </c>
      <c r="FN62" s="268" t="s">
        <v>4200</v>
      </c>
      <c r="FO62" s="268" t="s">
        <v>4189</v>
      </c>
      <c r="FP62" s="268" t="s">
        <v>4388</v>
      </c>
      <c r="FQ62" s="268" t="s">
        <v>4190</v>
      </c>
      <c r="FR62" s="268" t="s">
        <v>4201</v>
      </c>
      <c r="FS62" s="268" t="s">
        <v>4191</v>
      </c>
      <c r="FT62" s="268" t="s">
        <v>4202</v>
      </c>
      <c r="FU62" s="268" t="s">
        <v>4192</v>
      </c>
      <c r="FV62" s="268" t="s">
        <v>4203</v>
      </c>
      <c r="FW62" s="268" t="s">
        <v>4377</v>
      </c>
      <c r="FX62" s="268" t="s">
        <v>4204</v>
      </c>
      <c r="FY62" s="268" t="s">
        <v>913</v>
      </c>
      <c r="FZ62" s="268" t="s">
        <v>1058</v>
      </c>
      <c r="GA62" s="202"/>
      <c r="GB62" s="202"/>
      <c r="GC62" s="202"/>
      <c r="GD62" s="182"/>
      <c r="GE62" s="202"/>
      <c r="GF62" s="202"/>
      <c r="GG62" s="202"/>
      <c r="GH62" s="202"/>
      <c r="GI62" s="202"/>
      <c r="GJ62" s="202"/>
      <c r="GK62" s="202"/>
      <c r="GL62" s="202"/>
      <c r="GM62" s="202"/>
      <c r="GN62" s="202"/>
      <c r="GO62" s="202"/>
      <c r="GP62" s="202"/>
      <c r="GQ62" s="202"/>
      <c r="GR62" s="182"/>
      <c r="GS62" s="182"/>
      <c r="GT62" s="182"/>
      <c r="GU62" s="182"/>
      <c r="GV62" s="182"/>
      <c r="GW62" s="182"/>
      <c r="GX62" s="182"/>
      <c r="GY62" s="182"/>
      <c r="GZ62" s="182"/>
      <c r="HA62" s="174">
        <v>1</v>
      </c>
      <c r="HB62" s="197">
        <v>59</v>
      </c>
      <c r="HC62" s="194">
        <v>50</v>
      </c>
      <c r="HD62" s="238">
        <v>75</v>
      </c>
      <c r="HE62" s="236">
        <v>25</v>
      </c>
      <c r="HF62" s="183">
        <v>124</v>
      </c>
      <c r="HG62" s="193">
        <f t="shared" si="3"/>
        <v>119</v>
      </c>
      <c r="HH62" s="192" t="e">
        <f t="shared" si="109"/>
        <v>#REF!</v>
      </c>
      <c r="HI62" s="198">
        <v>25</v>
      </c>
      <c r="HJ62" s="185">
        <v>119.5</v>
      </c>
      <c r="HK62" s="182">
        <v>60</v>
      </c>
      <c r="HL62" s="269">
        <f t="shared" si="83"/>
        <v>310</v>
      </c>
      <c r="HM62" s="269">
        <f t="shared" si="84"/>
        <v>300</v>
      </c>
      <c r="HN62" s="269">
        <f t="shared" si="85"/>
        <v>250</v>
      </c>
      <c r="HO62" s="269">
        <f t="shared" si="86"/>
        <v>210</v>
      </c>
      <c r="HP62" s="269">
        <f t="shared" si="87"/>
        <v>180</v>
      </c>
      <c r="HQ62" s="269">
        <f t="shared" si="88"/>
        <v>170</v>
      </c>
      <c r="HR62" s="269">
        <f t="shared" si="89"/>
        <v>170</v>
      </c>
      <c r="HS62" s="269">
        <f t="shared" si="90"/>
        <v>160</v>
      </c>
      <c r="HT62" s="269">
        <f t="shared" si="91"/>
        <v>150</v>
      </c>
      <c r="HU62" s="269">
        <f t="shared" si="92"/>
        <v>240</v>
      </c>
      <c r="HV62" s="269">
        <f t="shared" si="93"/>
        <v>170</v>
      </c>
      <c r="HW62" s="269">
        <f t="shared" si="94"/>
        <v>160</v>
      </c>
      <c r="HX62" s="269">
        <f t="shared" si="95"/>
        <v>190</v>
      </c>
      <c r="HY62" s="269">
        <f t="shared" si="96"/>
        <v>150</v>
      </c>
      <c r="HZ62" s="269">
        <f t="shared" si="97"/>
        <v>140</v>
      </c>
      <c r="IA62" s="269">
        <f t="shared" si="98"/>
        <v>130</v>
      </c>
      <c r="IB62" s="269">
        <f t="shared" si="99"/>
        <v>180</v>
      </c>
      <c r="IC62" s="269">
        <f t="shared" si="100"/>
        <v>160</v>
      </c>
      <c r="ID62" s="269">
        <f t="shared" si="101"/>
        <v>120</v>
      </c>
      <c r="IE62" s="269">
        <f t="shared" si="102"/>
        <v>150</v>
      </c>
      <c r="IF62" s="269">
        <f t="shared" si="103"/>
        <v>120</v>
      </c>
      <c r="IG62" s="269">
        <f t="shared" si="104"/>
        <v>100</v>
      </c>
      <c r="IH62" s="269">
        <f t="shared" si="105"/>
        <v>90</v>
      </c>
      <c r="II62" s="269">
        <f t="shared" si="106"/>
        <v>70</v>
      </c>
      <c r="IJ62" s="269">
        <v>62</v>
      </c>
      <c r="IR62" s="174">
        <v>2500000</v>
      </c>
      <c r="IS62" s="174">
        <v>60</v>
      </c>
    </row>
    <row r="63" spans="1:255" ht="13.35" customHeight="1" x14ac:dyDescent="0.2">
      <c r="A63" s="183">
        <f t="shared" si="107"/>
        <v>62</v>
      </c>
      <c r="B63" s="183">
        <v>0</v>
      </c>
      <c r="C63" s="183">
        <f t="shared" si="108"/>
        <v>62</v>
      </c>
      <c r="D63" s="174">
        <v>6</v>
      </c>
      <c r="E63" s="196" t="s">
        <v>412</v>
      </c>
      <c r="X63" s="174">
        <v>5</v>
      </c>
      <c r="AV63" s="174">
        <v>15</v>
      </c>
      <c r="BQ63" s="174">
        <v>10</v>
      </c>
      <c r="BY63" s="174">
        <v>15</v>
      </c>
      <c r="DH63" s="268"/>
      <c r="DI63" s="268"/>
      <c r="DJ63" s="268"/>
      <c r="DK63" s="268"/>
      <c r="DL63" s="268"/>
      <c r="DM63" s="268"/>
      <c r="DN63" s="268"/>
      <c r="DO63" s="268"/>
      <c r="DP63" s="268"/>
      <c r="DQ63" s="268"/>
      <c r="DR63" s="268"/>
      <c r="DS63" s="268"/>
      <c r="DT63" s="268"/>
      <c r="DU63" s="268"/>
      <c r="DV63" s="268"/>
      <c r="DW63" s="268"/>
      <c r="DX63" s="268"/>
      <c r="DY63" s="268"/>
      <c r="DZ63" s="268"/>
      <c r="EA63" s="268"/>
      <c r="EB63" s="268">
        <f t="shared" si="110"/>
        <v>0</v>
      </c>
      <c r="EO63" s="174" t="s">
        <v>248</v>
      </c>
      <c r="EP63" s="174" t="s">
        <v>248</v>
      </c>
      <c r="EQ63" s="174" t="s">
        <v>248</v>
      </c>
      <c r="ER63" s="174" t="s">
        <v>452</v>
      </c>
      <c r="ES63" s="174" t="s">
        <v>452</v>
      </c>
      <c r="ET63" s="174" t="s">
        <v>452</v>
      </c>
      <c r="EU63" s="174" t="s">
        <v>4305</v>
      </c>
      <c r="EV63" s="174" t="s">
        <v>248</v>
      </c>
      <c r="EW63" s="174" t="s">
        <v>248</v>
      </c>
      <c r="EX63" s="174" t="s">
        <v>248</v>
      </c>
      <c r="EY63" s="174" t="s">
        <v>248</v>
      </c>
      <c r="EZ63" s="174" t="s">
        <v>248</v>
      </c>
      <c r="FA63" s="174" t="s">
        <v>248</v>
      </c>
      <c r="FB63" s="174" t="s">
        <v>248</v>
      </c>
      <c r="FC63" s="174" t="s">
        <v>248</v>
      </c>
      <c r="FD63" s="174" t="s">
        <v>248</v>
      </c>
      <c r="FE63" s="174" t="s">
        <v>248</v>
      </c>
      <c r="FF63" s="174" t="s">
        <v>248</v>
      </c>
      <c r="FG63" s="174" t="s">
        <v>248</v>
      </c>
      <c r="FH63" s="174" t="s">
        <v>248</v>
      </c>
      <c r="FI63" s="174" t="s">
        <v>248</v>
      </c>
      <c r="FJ63" s="174" t="s">
        <v>248</v>
      </c>
      <c r="FK63" s="174" t="s">
        <v>248</v>
      </c>
      <c r="FL63" s="174" t="s">
        <v>248</v>
      </c>
      <c r="FM63" s="174" t="s">
        <v>248</v>
      </c>
      <c r="FN63" s="174" t="s">
        <v>248</v>
      </c>
      <c r="FO63" s="174" t="s">
        <v>248</v>
      </c>
      <c r="FP63" s="174" t="s">
        <v>248</v>
      </c>
      <c r="FQ63" s="174" t="s">
        <v>248</v>
      </c>
      <c r="FR63" s="174" t="s">
        <v>248</v>
      </c>
      <c r="FS63" s="174" t="s">
        <v>248</v>
      </c>
      <c r="FT63" s="174" t="s">
        <v>248</v>
      </c>
      <c r="FU63" s="174" t="s">
        <v>248</v>
      </c>
      <c r="FV63" s="174" t="s">
        <v>248</v>
      </c>
      <c r="FW63" s="174" t="s">
        <v>1152</v>
      </c>
      <c r="FX63" s="174" t="s">
        <v>248</v>
      </c>
      <c r="FY63" s="174" t="s">
        <v>553</v>
      </c>
      <c r="FZ63" s="174" t="s">
        <v>248</v>
      </c>
      <c r="HA63" s="174">
        <v>2</v>
      </c>
      <c r="HB63" s="197">
        <v>60</v>
      </c>
      <c r="HC63" s="194">
        <v>50</v>
      </c>
      <c r="HD63" s="238">
        <v>75</v>
      </c>
      <c r="HE63" s="236">
        <v>25</v>
      </c>
      <c r="HF63" s="183">
        <v>125</v>
      </c>
      <c r="HG63" s="193">
        <f t="shared" si="3"/>
        <v>120</v>
      </c>
      <c r="HH63" s="192" t="e">
        <f t="shared" si="109"/>
        <v>#REF!</v>
      </c>
      <c r="HI63" s="198">
        <v>25</v>
      </c>
      <c r="HJ63" s="185">
        <v>120</v>
      </c>
      <c r="HK63" s="174">
        <v>61</v>
      </c>
      <c r="HL63" s="174">
        <f t="shared" si="83"/>
        <v>314</v>
      </c>
      <c r="HM63" s="174">
        <f t="shared" si="84"/>
        <v>304</v>
      </c>
      <c r="HN63" s="174">
        <f t="shared" si="85"/>
        <v>253</v>
      </c>
      <c r="HO63" s="174">
        <f t="shared" si="86"/>
        <v>212</v>
      </c>
      <c r="HP63" s="174">
        <f t="shared" si="87"/>
        <v>181</v>
      </c>
      <c r="HQ63" s="174">
        <f t="shared" si="88"/>
        <v>171</v>
      </c>
      <c r="HR63" s="174">
        <f t="shared" si="89"/>
        <v>171</v>
      </c>
      <c r="HS63" s="174">
        <f t="shared" si="90"/>
        <v>161</v>
      </c>
      <c r="HT63" s="174">
        <f t="shared" si="91"/>
        <v>151</v>
      </c>
      <c r="HU63" s="174">
        <f t="shared" si="92"/>
        <v>243</v>
      </c>
      <c r="HV63" s="174">
        <f t="shared" si="93"/>
        <v>171</v>
      </c>
      <c r="HW63" s="174">
        <f t="shared" si="94"/>
        <v>161</v>
      </c>
      <c r="HX63" s="174">
        <f t="shared" si="95"/>
        <v>192</v>
      </c>
      <c r="HY63" s="174">
        <f t="shared" si="96"/>
        <v>151</v>
      </c>
      <c r="HZ63" s="174">
        <f t="shared" si="97"/>
        <v>141</v>
      </c>
      <c r="IA63" s="174">
        <f t="shared" si="98"/>
        <v>131</v>
      </c>
      <c r="IB63" s="174">
        <f t="shared" si="99"/>
        <v>182</v>
      </c>
      <c r="IC63" s="174">
        <f t="shared" si="100"/>
        <v>162</v>
      </c>
      <c r="ID63" s="174">
        <f t="shared" si="101"/>
        <v>121</v>
      </c>
      <c r="IE63" s="174">
        <f t="shared" si="102"/>
        <v>152</v>
      </c>
      <c r="IF63" s="174">
        <f t="shared" si="103"/>
        <v>121</v>
      </c>
      <c r="IG63" s="174">
        <f t="shared" si="104"/>
        <v>101</v>
      </c>
      <c r="IH63" s="174">
        <f t="shared" si="105"/>
        <v>91</v>
      </c>
      <c r="II63" s="174">
        <f t="shared" si="106"/>
        <v>71</v>
      </c>
      <c r="IJ63" s="174">
        <v>63</v>
      </c>
      <c r="IR63" s="174">
        <v>2550000</v>
      </c>
      <c r="IS63" s="174">
        <v>61</v>
      </c>
    </row>
    <row r="64" spans="1:255" ht="13.35" customHeight="1" x14ac:dyDescent="0.2">
      <c r="A64" s="183">
        <f t="shared" si="107"/>
        <v>63</v>
      </c>
      <c r="B64" s="183">
        <v>0</v>
      </c>
      <c r="C64" s="183">
        <f t="shared" si="108"/>
        <v>63</v>
      </c>
      <c r="D64" s="174">
        <v>7</v>
      </c>
      <c r="E64" s="196" t="s">
        <v>425</v>
      </c>
      <c r="AV64" s="174">
        <v>15</v>
      </c>
      <c r="AZ64" s="174">
        <v>10</v>
      </c>
      <c r="BQ64" s="174">
        <v>10</v>
      </c>
      <c r="BY64" s="174">
        <v>15</v>
      </c>
      <c r="DH64" s="268"/>
      <c r="DI64" s="268"/>
      <c r="DJ64" s="268"/>
      <c r="DK64" s="268"/>
      <c r="DL64" s="268"/>
      <c r="DM64" s="268"/>
      <c r="DN64" s="268"/>
      <c r="DO64" s="268"/>
      <c r="DP64" s="268"/>
      <c r="DQ64" s="268"/>
      <c r="DR64" s="268"/>
      <c r="DS64" s="268"/>
      <c r="DT64" s="268"/>
      <c r="DU64" s="268"/>
      <c r="DV64" s="268"/>
      <c r="DW64" s="268"/>
      <c r="DX64" s="268"/>
      <c r="DY64" s="268"/>
      <c r="DZ64" s="268"/>
      <c r="EA64" s="268"/>
      <c r="EB64" s="268">
        <f t="shared" si="110"/>
        <v>0</v>
      </c>
      <c r="EP64" s="232"/>
      <c r="EQ64" s="232"/>
      <c r="FW64" s="174" t="s">
        <v>1154</v>
      </c>
      <c r="FY64" s="174" t="s">
        <v>554</v>
      </c>
      <c r="HA64" s="174">
        <v>3</v>
      </c>
      <c r="HB64" s="197">
        <v>61</v>
      </c>
      <c r="HC64" s="194">
        <v>51</v>
      </c>
      <c r="HD64" s="238">
        <v>76</v>
      </c>
      <c r="HE64" s="236">
        <v>25</v>
      </c>
      <c r="HF64" s="183">
        <v>126</v>
      </c>
      <c r="HG64" s="193">
        <f t="shared" si="3"/>
        <v>121</v>
      </c>
      <c r="HH64" s="192" t="e">
        <f t="shared" si="109"/>
        <v>#REF!</v>
      </c>
      <c r="HI64" s="198">
        <v>25</v>
      </c>
      <c r="HJ64" s="185">
        <v>120.5</v>
      </c>
      <c r="HK64" s="174">
        <v>62</v>
      </c>
      <c r="HL64" s="174">
        <f t="shared" si="83"/>
        <v>318</v>
      </c>
      <c r="HM64" s="174">
        <f t="shared" si="84"/>
        <v>308</v>
      </c>
      <c r="HN64" s="174">
        <f t="shared" si="85"/>
        <v>256</v>
      </c>
      <c r="HO64" s="174">
        <f t="shared" si="86"/>
        <v>214</v>
      </c>
      <c r="HP64" s="174">
        <f t="shared" si="87"/>
        <v>182</v>
      </c>
      <c r="HQ64" s="174">
        <f t="shared" si="88"/>
        <v>172</v>
      </c>
      <c r="HR64" s="174">
        <f t="shared" si="89"/>
        <v>172</v>
      </c>
      <c r="HS64" s="174">
        <f t="shared" si="90"/>
        <v>162</v>
      </c>
      <c r="HT64" s="174">
        <f t="shared" si="91"/>
        <v>152</v>
      </c>
      <c r="HU64" s="174">
        <f t="shared" si="92"/>
        <v>246</v>
      </c>
      <c r="HV64" s="174">
        <f t="shared" si="93"/>
        <v>172</v>
      </c>
      <c r="HW64" s="174">
        <f t="shared" si="94"/>
        <v>162</v>
      </c>
      <c r="HX64" s="174">
        <f t="shared" si="95"/>
        <v>194</v>
      </c>
      <c r="HY64" s="174">
        <f t="shared" si="96"/>
        <v>152</v>
      </c>
      <c r="HZ64" s="174">
        <f t="shared" si="97"/>
        <v>142</v>
      </c>
      <c r="IA64" s="174">
        <f t="shared" si="98"/>
        <v>132</v>
      </c>
      <c r="IB64" s="174">
        <f t="shared" si="99"/>
        <v>184</v>
      </c>
      <c r="IC64" s="174">
        <f t="shared" si="100"/>
        <v>164</v>
      </c>
      <c r="ID64" s="174">
        <f t="shared" si="101"/>
        <v>122</v>
      </c>
      <c r="IE64" s="174">
        <f t="shared" si="102"/>
        <v>154</v>
      </c>
      <c r="IF64" s="174">
        <f t="shared" si="103"/>
        <v>122</v>
      </c>
      <c r="IG64" s="174">
        <f t="shared" si="104"/>
        <v>102</v>
      </c>
      <c r="IH64" s="174">
        <f t="shared" si="105"/>
        <v>92</v>
      </c>
      <c r="II64" s="174">
        <f t="shared" si="106"/>
        <v>72</v>
      </c>
      <c r="IJ64" s="174">
        <v>64</v>
      </c>
      <c r="IM64" s="174">
        <v>6543</v>
      </c>
      <c r="IO64" s="174">
        <v>6543</v>
      </c>
      <c r="IP64" s="174">
        <v>6543</v>
      </c>
      <c r="IQ64" s="174">
        <v>6543</v>
      </c>
      <c r="IR64" s="174">
        <v>2600000</v>
      </c>
      <c r="IS64" s="174">
        <v>62</v>
      </c>
      <c r="IT64" s="174">
        <v>6543</v>
      </c>
      <c r="IU64" s="174">
        <v>7531</v>
      </c>
    </row>
    <row r="65" spans="1:253" ht="13.35" customHeight="1" x14ac:dyDescent="0.2">
      <c r="A65" s="183">
        <f t="shared" si="107"/>
        <v>64</v>
      </c>
      <c r="B65" s="183">
        <v>0</v>
      </c>
      <c r="C65" s="183">
        <f t="shared" si="108"/>
        <v>64</v>
      </c>
      <c r="D65" s="174">
        <v>8</v>
      </c>
      <c r="E65" s="189" t="s">
        <v>434</v>
      </c>
      <c r="J65" s="174">
        <v>5</v>
      </c>
      <c r="T65" s="174">
        <v>5</v>
      </c>
      <c r="U65" s="174">
        <v>5</v>
      </c>
      <c r="AH65" s="174">
        <v>10</v>
      </c>
      <c r="AJ65" s="174">
        <v>5</v>
      </c>
      <c r="AQ65" s="174">
        <v>5</v>
      </c>
      <c r="AY65" s="174">
        <v>5</v>
      </c>
      <c r="CI65" s="174">
        <v>10</v>
      </c>
      <c r="CK65" s="174">
        <v>5</v>
      </c>
      <c r="CO65" s="174">
        <v>5</v>
      </c>
      <c r="CX65" s="174">
        <v>5</v>
      </c>
      <c r="DH65" s="268"/>
      <c r="DI65" s="268"/>
      <c r="DJ65" s="268"/>
      <c r="DK65" s="268"/>
      <c r="DL65" s="268"/>
      <c r="DM65" s="268"/>
      <c r="DN65" s="268"/>
      <c r="DO65" s="268"/>
      <c r="DP65" s="268"/>
      <c r="DQ65" s="268"/>
      <c r="DR65" s="268"/>
      <c r="DS65" s="268"/>
      <c r="DT65" s="268"/>
      <c r="DU65" s="268"/>
      <c r="DV65" s="268"/>
      <c r="DW65" s="268"/>
      <c r="DX65" s="268"/>
      <c r="DY65" s="268"/>
      <c r="DZ65" s="268"/>
      <c r="EA65" s="268"/>
      <c r="EB65" s="268">
        <f t="shared" si="110"/>
        <v>0</v>
      </c>
      <c r="EP65" s="232"/>
      <c r="EQ65" s="232"/>
      <c r="FW65" s="174" t="s">
        <v>1155</v>
      </c>
      <c r="FY65" s="174" t="s">
        <v>555</v>
      </c>
      <c r="HA65" s="174">
        <v>4</v>
      </c>
      <c r="HB65" s="197">
        <v>62</v>
      </c>
      <c r="HC65" s="194">
        <v>51</v>
      </c>
      <c r="HD65" s="238">
        <v>76</v>
      </c>
      <c r="HE65" s="236">
        <v>25</v>
      </c>
      <c r="HF65" s="183">
        <v>127</v>
      </c>
      <c r="HG65" s="193">
        <f t="shared" si="3"/>
        <v>122</v>
      </c>
      <c r="HH65" s="192" t="e">
        <f t="shared" si="109"/>
        <v>#REF!</v>
      </c>
      <c r="HI65" s="198">
        <v>25</v>
      </c>
      <c r="HJ65" s="185">
        <v>121</v>
      </c>
      <c r="HK65" s="174">
        <v>63</v>
      </c>
      <c r="HL65" s="174">
        <f t="shared" si="83"/>
        <v>322</v>
      </c>
      <c r="HM65" s="174">
        <f t="shared" si="84"/>
        <v>312</v>
      </c>
      <c r="HN65" s="174">
        <f t="shared" si="85"/>
        <v>259</v>
      </c>
      <c r="HO65" s="174">
        <f t="shared" si="86"/>
        <v>216</v>
      </c>
      <c r="HP65" s="174">
        <f t="shared" si="87"/>
        <v>183</v>
      </c>
      <c r="HQ65" s="174">
        <f t="shared" si="88"/>
        <v>173</v>
      </c>
      <c r="HR65" s="174">
        <f t="shared" si="89"/>
        <v>173</v>
      </c>
      <c r="HS65" s="174">
        <f t="shared" si="90"/>
        <v>163</v>
      </c>
      <c r="HT65" s="174">
        <f t="shared" si="91"/>
        <v>153</v>
      </c>
      <c r="HU65" s="174">
        <f t="shared" si="92"/>
        <v>249</v>
      </c>
      <c r="HV65" s="174">
        <f t="shared" si="93"/>
        <v>173</v>
      </c>
      <c r="HW65" s="174">
        <f t="shared" si="94"/>
        <v>163</v>
      </c>
      <c r="HX65" s="174">
        <f t="shared" si="95"/>
        <v>196</v>
      </c>
      <c r="HY65" s="174">
        <f t="shared" si="96"/>
        <v>153</v>
      </c>
      <c r="HZ65" s="174">
        <f t="shared" si="97"/>
        <v>143</v>
      </c>
      <c r="IA65" s="174">
        <f t="shared" si="98"/>
        <v>133</v>
      </c>
      <c r="IB65" s="174">
        <f t="shared" si="99"/>
        <v>186</v>
      </c>
      <c r="IC65" s="174">
        <f t="shared" si="100"/>
        <v>166</v>
      </c>
      <c r="ID65" s="174">
        <f t="shared" si="101"/>
        <v>123</v>
      </c>
      <c r="IE65" s="174">
        <f t="shared" si="102"/>
        <v>156</v>
      </c>
      <c r="IF65" s="174">
        <f t="shared" si="103"/>
        <v>123</v>
      </c>
      <c r="IG65" s="174">
        <f t="shared" si="104"/>
        <v>103</v>
      </c>
      <c r="IH65" s="174">
        <f t="shared" si="105"/>
        <v>93</v>
      </c>
      <c r="II65" s="174">
        <f t="shared" si="106"/>
        <v>73</v>
      </c>
      <c r="IJ65" s="174">
        <v>65</v>
      </c>
      <c r="IR65" s="174">
        <v>2650000</v>
      </c>
      <c r="IS65" s="174">
        <v>63</v>
      </c>
    </row>
    <row r="66" spans="1:253" ht="13.35" customHeight="1" x14ac:dyDescent="0.2">
      <c r="A66" s="183">
        <f t="shared" si="107"/>
        <v>65</v>
      </c>
      <c r="B66" s="183">
        <v>0</v>
      </c>
      <c r="C66" s="183">
        <f t="shared" si="108"/>
        <v>65</v>
      </c>
      <c r="D66" s="174">
        <v>9</v>
      </c>
      <c r="E66" s="189" t="s">
        <v>441</v>
      </c>
      <c r="J66" s="174">
        <v>5</v>
      </c>
      <c r="T66" s="174">
        <v>5</v>
      </c>
      <c r="U66" s="174">
        <v>5</v>
      </c>
      <c r="AH66" s="174">
        <v>10</v>
      </c>
      <c r="AJ66" s="174">
        <v>5</v>
      </c>
      <c r="AQ66" s="174">
        <v>5</v>
      </c>
      <c r="AY66" s="174">
        <v>5</v>
      </c>
      <c r="CI66" s="174">
        <v>5</v>
      </c>
      <c r="CO66" s="174">
        <v>5</v>
      </c>
      <c r="CX66" s="174">
        <v>5</v>
      </c>
      <c r="DH66" s="268"/>
      <c r="DI66" s="268"/>
      <c r="DJ66" s="268"/>
      <c r="DK66" s="268"/>
      <c r="DL66" s="268"/>
      <c r="DM66" s="268"/>
      <c r="DN66" s="268"/>
      <c r="DO66" s="268"/>
      <c r="DP66" s="268"/>
      <c r="DQ66" s="268"/>
      <c r="DR66" s="268"/>
      <c r="DS66" s="268"/>
      <c r="DT66" s="268"/>
      <c r="DU66" s="268"/>
      <c r="DV66" s="268"/>
      <c r="DW66" s="268"/>
      <c r="DX66" s="268"/>
      <c r="DY66" s="268"/>
      <c r="DZ66" s="268"/>
      <c r="EA66" s="268"/>
      <c r="EB66" s="268">
        <f t="shared" si="110"/>
        <v>0</v>
      </c>
      <c r="EP66" s="232"/>
      <c r="EQ66" s="232"/>
      <c r="HA66" s="174">
        <v>5</v>
      </c>
      <c r="HB66" s="197">
        <v>63</v>
      </c>
      <c r="HC66" s="194">
        <v>52</v>
      </c>
      <c r="HD66" s="238">
        <v>77</v>
      </c>
      <c r="HE66" s="236">
        <v>25</v>
      </c>
      <c r="HF66" s="183">
        <v>128</v>
      </c>
      <c r="HG66" s="193">
        <f t="shared" si="3"/>
        <v>123</v>
      </c>
      <c r="HH66" s="192" t="e">
        <f t="shared" si="109"/>
        <v>#REF!</v>
      </c>
      <c r="HI66" s="198">
        <v>25</v>
      </c>
      <c r="HJ66" s="185">
        <v>121.5</v>
      </c>
      <c r="HK66" s="174">
        <v>64</v>
      </c>
      <c r="HL66" s="174">
        <f t="shared" si="83"/>
        <v>326</v>
      </c>
      <c r="HM66" s="174">
        <f t="shared" si="84"/>
        <v>316</v>
      </c>
      <c r="HN66" s="174">
        <f t="shared" si="85"/>
        <v>262</v>
      </c>
      <c r="HO66" s="174">
        <f t="shared" si="86"/>
        <v>218</v>
      </c>
      <c r="HP66" s="174">
        <f t="shared" si="87"/>
        <v>184</v>
      </c>
      <c r="HQ66" s="174">
        <f t="shared" si="88"/>
        <v>174</v>
      </c>
      <c r="HR66" s="174">
        <f t="shared" si="89"/>
        <v>174</v>
      </c>
      <c r="HS66" s="174">
        <f t="shared" si="90"/>
        <v>164</v>
      </c>
      <c r="HT66" s="174">
        <f t="shared" si="91"/>
        <v>154</v>
      </c>
      <c r="HU66" s="174">
        <f t="shared" si="92"/>
        <v>252</v>
      </c>
      <c r="HV66" s="174">
        <f t="shared" si="93"/>
        <v>174</v>
      </c>
      <c r="HW66" s="174">
        <f t="shared" si="94"/>
        <v>164</v>
      </c>
      <c r="HX66" s="174">
        <f t="shared" si="95"/>
        <v>198</v>
      </c>
      <c r="HY66" s="174">
        <f t="shared" si="96"/>
        <v>154</v>
      </c>
      <c r="HZ66" s="174">
        <f t="shared" si="97"/>
        <v>144</v>
      </c>
      <c r="IA66" s="174">
        <f t="shared" si="98"/>
        <v>134</v>
      </c>
      <c r="IB66" s="174">
        <f t="shared" si="99"/>
        <v>188</v>
      </c>
      <c r="IC66" s="174">
        <f t="shared" si="100"/>
        <v>168</v>
      </c>
      <c r="ID66" s="174">
        <f t="shared" si="101"/>
        <v>124</v>
      </c>
      <c r="IE66" s="174">
        <f t="shared" si="102"/>
        <v>158</v>
      </c>
      <c r="IF66" s="174">
        <f t="shared" si="103"/>
        <v>124</v>
      </c>
      <c r="IG66" s="174">
        <f t="shared" si="104"/>
        <v>104</v>
      </c>
      <c r="IH66" s="174">
        <f t="shared" si="105"/>
        <v>94</v>
      </c>
      <c r="II66" s="174">
        <f t="shared" si="106"/>
        <v>74</v>
      </c>
      <c r="IJ66" s="174">
        <v>66</v>
      </c>
      <c r="IR66" s="174">
        <v>2700000</v>
      </c>
      <c r="IS66" s="174">
        <v>64</v>
      </c>
    </row>
    <row r="67" spans="1:253" ht="13.35" customHeight="1" x14ac:dyDescent="0.2">
      <c r="A67" s="183">
        <f t="shared" ref="A67:A98" si="114">A66+1</f>
        <v>66</v>
      </c>
      <c r="B67" s="183">
        <v>0</v>
      </c>
      <c r="C67" s="183">
        <f t="shared" ref="C67:C91" si="115">C66+1</f>
        <v>66</v>
      </c>
      <c r="D67" s="174">
        <v>10</v>
      </c>
      <c r="E67" s="189" t="s">
        <v>454</v>
      </c>
      <c r="G67" s="174">
        <v>5</v>
      </c>
      <c r="H67" s="174">
        <v>5</v>
      </c>
      <c r="I67" s="174">
        <v>5</v>
      </c>
      <c r="J67" s="174">
        <v>5</v>
      </c>
      <c r="T67" s="174">
        <v>5</v>
      </c>
      <c r="U67" s="174">
        <v>5</v>
      </c>
      <c r="V67" s="174">
        <v>5</v>
      </c>
      <c r="AH67" s="174">
        <v>10</v>
      </c>
      <c r="AJ67" s="174">
        <v>5</v>
      </c>
      <c r="AQ67" s="174">
        <v>5</v>
      </c>
      <c r="AV67" s="174">
        <v>5</v>
      </c>
      <c r="AY67" s="174">
        <v>5</v>
      </c>
      <c r="CX67" s="174">
        <v>5</v>
      </c>
      <c r="DH67" s="268"/>
      <c r="DI67" s="268"/>
      <c r="DJ67" s="268"/>
      <c r="DK67" s="268"/>
      <c r="DL67" s="268"/>
      <c r="DM67" s="268"/>
      <c r="DN67" s="268"/>
      <c r="DO67" s="268"/>
      <c r="DP67" s="268"/>
      <c r="DQ67" s="268"/>
      <c r="DR67" s="268"/>
      <c r="DS67" s="268"/>
      <c r="DT67" s="268"/>
      <c r="DU67" s="268"/>
      <c r="DV67" s="268"/>
      <c r="DW67" s="268"/>
      <c r="DX67" s="268"/>
      <c r="DY67" s="268"/>
      <c r="DZ67" s="268"/>
      <c r="EA67" s="268"/>
      <c r="EB67" s="268"/>
      <c r="EP67" s="232"/>
      <c r="EQ67" s="232"/>
      <c r="HA67" s="174">
        <v>6</v>
      </c>
      <c r="HB67" s="197">
        <v>64</v>
      </c>
      <c r="HC67" s="194">
        <v>52</v>
      </c>
      <c r="HD67" s="238">
        <v>77</v>
      </c>
      <c r="HE67" s="236">
        <v>25</v>
      </c>
      <c r="HF67" s="183">
        <v>129</v>
      </c>
      <c r="HG67" s="193">
        <f t="shared" ref="HG67:HG130" si="116">HLOOKUP($B$154,$HK$1:$IJ$202,$IJ66,0)</f>
        <v>124</v>
      </c>
      <c r="HH67" s="192" t="e">
        <f t="shared" si="109"/>
        <v>#REF!</v>
      </c>
      <c r="HI67" s="198">
        <v>25</v>
      </c>
      <c r="HJ67" s="185">
        <v>122</v>
      </c>
      <c r="HK67" s="174">
        <v>65</v>
      </c>
      <c r="HL67" s="174">
        <f t="shared" si="83"/>
        <v>330</v>
      </c>
      <c r="HM67" s="174">
        <f t="shared" si="84"/>
        <v>320</v>
      </c>
      <c r="HN67" s="174">
        <f t="shared" si="85"/>
        <v>265</v>
      </c>
      <c r="HO67" s="174">
        <f t="shared" si="86"/>
        <v>220</v>
      </c>
      <c r="HP67" s="174">
        <f t="shared" si="87"/>
        <v>185</v>
      </c>
      <c r="HQ67" s="174">
        <f t="shared" si="88"/>
        <v>175</v>
      </c>
      <c r="HR67" s="174">
        <f t="shared" si="89"/>
        <v>175</v>
      </c>
      <c r="HS67" s="174">
        <f t="shared" si="90"/>
        <v>165</v>
      </c>
      <c r="HT67" s="174">
        <f t="shared" si="91"/>
        <v>155</v>
      </c>
      <c r="HU67" s="174">
        <f t="shared" si="92"/>
        <v>255</v>
      </c>
      <c r="HV67" s="174">
        <f t="shared" si="93"/>
        <v>175</v>
      </c>
      <c r="HW67" s="174">
        <f t="shared" si="94"/>
        <v>165</v>
      </c>
      <c r="HX67" s="174">
        <f t="shared" si="95"/>
        <v>200</v>
      </c>
      <c r="HY67" s="174">
        <f t="shared" si="96"/>
        <v>155</v>
      </c>
      <c r="HZ67" s="174">
        <f t="shared" si="97"/>
        <v>145</v>
      </c>
      <c r="IA67" s="174">
        <f t="shared" si="98"/>
        <v>135</v>
      </c>
      <c r="IB67" s="174">
        <f t="shared" si="99"/>
        <v>190</v>
      </c>
      <c r="IC67" s="174">
        <f t="shared" si="100"/>
        <v>170</v>
      </c>
      <c r="ID67" s="174">
        <f t="shared" si="101"/>
        <v>125</v>
      </c>
      <c r="IE67" s="174">
        <f t="shared" si="102"/>
        <v>160</v>
      </c>
      <c r="IF67" s="174">
        <f t="shared" si="103"/>
        <v>125</v>
      </c>
      <c r="IG67" s="174">
        <f t="shared" si="104"/>
        <v>105</v>
      </c>
      <c r="IH67" s="174">
        <f t="shared" si="105"/>
        <v>95</v>
      </c>
      <c r="II67" s="174">
        <f t="shared" si="106"/>
        <v>75</v>
      </c>
      <c r="IJ67" s="174">
        <v>67</v>
      </c>
      <c r="IR67" s="174">
        <v>2750000</v>
      </c>
      <c r="IS67" s="174">
        <v>65</v>
      </c>
    </row>
    <row r="68" spans="1:253" ht="13.35" customHeight="1" x14ac:dyDescent="0.2">
      <c r="A68" s="183">
        <f t="shared" si="114"/>
        <v>67</v>
      </c>
      <c r="B68" s="183">
        <v>0</v>
      </c>
      <c r="C68" s="183">
        <f t="shared" si="115"/>
        <v>67</v>
      </c>
      <c r="D68" s="174">
        <v>11</v>
      </c>
      <c r="E68" s="189" t="s">
        <v>477</v>
      </c>
      <c r="G68" s="174">
        <v>10</v>
      </c>
      <c r="H68" s="174">
        <v>5</v>
      </c>
      <c r="I68" s="174">
        <v>5</v>
      </c>
      <c r="J68" s="174">
        <v>5</v>
      </c>
      <c r="L68" s="174">
        <v>5</v>
      </c>
      <c r="M68" s="174">
        <v>5</v>
      </c>
      <c r="N68" s="174">
        <v>5</v>
      </c>
      <c r="O68" s="174">
        <v>5</v>
      </c>
      <c r="P68" s="174">
        <v>5</v>
      </c>
      <c r="Q68" s="174">
        <v>5</v>
      </c>
      <c r="R68" s="174">
        <v>5</v>
      </c>
      <c r="T68" s="174">
        <v>10</v>
      </c>
      <c r="U68" s="174">
        <v>5</v>
      </c>
      <c r="V68" s="174">
        <v>5</v>
      </c>
      <c r="W68" s="174">
        <v>10</v>
      </c>
      <c r="X68" s="174">
        <v>5</v>
      </c>
      <c r="Y68" s="174">
        <v>10</v>
      </c>
      <c r="AD68" s="174">
        <v>5</v>
      </c>
      <c r="AH68" s="174">
        <v>5</v>
      </c>
      <c r="AK68" s="174">
        <v>5</v>
      </c>
      <c r="AL68" s="174">
        <v>15</v>
      </c>
      <c r="AM68" s="174">
        <v>10</v>
      </c>
      <c r="AP68" s="174">
        <v>5</v>
      </c>
      <c r="AQ68" s="174">
        <v>5</v>
      </c>
      <c r="BB68" s="174">
        <v>10</v>
      </c>
      <c r="BC68" s="174">
        <v>10</v>
      </c>
      <c r="BF68" s="174">
        <v>10</v>
      </c>
      <c r="BG68" s="174">
        <v>10</v>
      </c>
      <c r="BJ68" s="174">
        <v>5</v>
      </c>
      <c r="BL68" s="174">
        <v>5</v>
      </c>
      <c r="BN68" s="174">
        <v>5</v>
      </c>
      <c r="BO68" s="174">
        <v>5</v>
      </c>
      <c r="BR68" s="174">
        <v>5</v>
      </c>
      <c r="BW68" s="174">
        <v>10</v>
      </c>
      <c r="CA68" s="174">
        <v>5</v>
      </c>
      <c r="CC68" s="174">
        <v>5</v>
      </c>
      <c r="CD68" s="174">
        <v>5</v>
      </c>
      <c r="CG68" s="174">
        <v>5</v>
      </c>
      <c r="CJ68" s="174">
        <v>5</v>
      </c>
      <c r="CL68" s="174">
        <v>10</v>
      </c>
      <c r="CN68" s="174">
        <v>10</v>
      </c>
      <c r="CS68" s="174">
        <v>5</v>
      </c>
      <c r="CT68" s="174">
        <v>10</v>
      </c>
      <c r="CU68" s="174">
        <v>5</v>
      </c>
      <c r="CX68" s="174">
        <v>5</v>
      </c>
      <c r="CY68" s="174">
        <v>5</v>
      </c>
      <c r="CZ68" s="174">
        <v>5</v>
      </c>
      <c r="DA68" s="174">
        <v>5</v>
      </c>
      <c r="HA68" s="174">
        <v>7</v>
      </c>
      <c r="HB68" s="197">
        <v>65</v>
      </c>
      <c r="HC68" s="194">
        <v>53</v>
      </c>
      <c r="HD68" s="238">
        <v>78</v>
      </c>
      <c r="HE68" s="236">
        <v>25</v>
      </c>
      <c r="HF68" s="183">
        <v>130</v>
      </c>
      <c r="HG68" s="193">
        <f t="shared" si="116"/>
        <v>125</v>
      </c>
      <c r="HH68" s="192" t="e">
        <f t="shared" ref="HH68:HH99" si="117">HLOOKUP($B$155,$HK$1:$IK$202,$IJ67,0)</f>
        <v>#REF!</v>
      </c>
      <c r="HI68" s="198">
        <v>25</v>
      </c>
      <c r="HJ68" s="185">
        <v>122.5</v>
      </c>
      <c r="HK68" s="174">
        <v>66</v>
      </c>
      <c r="HL68" s="174">
        <f t="shared" si="83"/>
        <v>334</v>
      </c>
      <c r="HM68" s="174">
        <f t="shared" si="84"/>
        <v>324</v>
      </c>
      <c r="HN68" s="174">
        <f t="shared" si="85"/>
        <v>268</v>
      </c>
      <c r="HO68" s="174">
        <f t="shared" si="86"/>
        <v>222</v>
      </c>
      <c r="HP68" s="174">
        <f t="shared" si="87"/>
        <v>186</v>
      </c>
      <c r="HQ68" s="174">
        <f t="shared" si="88"/>
        <v>176</v>
      </c>
      <c r="HR68" s="174">
        <f t="shared" si="89"/>
        <v>176</v>
      </c>
      <c r="HS68" s="174">
        <f t="shared" si="90"/>
        <v>166</v>
      </c>
      <c r="HT68" s="174">
        <f t="shared" si="91"/>
        <v>156</v>
      </c>
      <c r="HU68" s="174">
        <f t="shared" si="92"/>
        <v>258</v>
      </c>
      <c r="HV68" s="174">
        <f t="shared" si="93"/>
        <v>176</v>
      </c>
      <c r="HW68" s="174">
        <f t="shared" si="94"/>
        <v>166</v>
      </c>
      <c r="HX68" s="174">
        <f t="shared" si="95"/>
        <v>202</v>
      </c>
      <c r="HY68" s="174">
        <f t="shared" si="96"/>
        <v>156</v>
      </c>
      <c r="HZ68" s="174">
        <f t="shared" si="97"/>
        <v>146</v>
      </c>
      <c r="IA68" s="174">
        <f t="shared" si="98"/>
        <v>136</v>
      </c>
      <c r="IB68" s="174">
        <f t="shared" si="99"/>
        <v>192</v>
      </c>
      <c r="IC68" s="174">
        <f t="shared" si="100"/>
        <v>172</v>
      </c>
      <c r="ID68" s="174">
        <f t="shared" si="101"/>
        <v>126</v>
      </c>
      <c r="IE68" s="174">
        <f t="shared" si="102"/>
        <v>162</v>
      </c>
      <c r="IF68" s="174">
        <f t="shared" si="103"/>
        <v>126</v>
      </c>
      <c r="IG68" s="174">
        <f t="shared" si="104"/>
        <v>106</v>
      </c>
      <c r="IH68" s="174">
        <f t="shared" si="105"/>
        <v>96</v>
      </c>
      <c r="II68" s="174">
        <f t="shared" si="106"/>
        <v>76</v>
      </c>
      <c r="IJ68" s="174">
        <v>68</v>
      </c>
      <c r="IR68" s="174">
        <v>2800000</v>
      </c>
      <c r="IS68" s="174">
        <v>66</v>
      </c>
    </row>
    <row r="69" spans="1:253" ht="13.35" customHeight="1" x14ac:dyDescent="0.2">
      <c r="A69" s="183">
        <f t="shared" si="114"/>
        <v>68</v>
      </c>
      <c r="B69" s="183">
        <v>0</v>
      </c>
      <c r="C69" s="183">
        <f t="shared" si="115"/>
        <v>68</v>
      </c>
      <c r="D69" s="174">
        <v>12</v>
      </c>
      <c r="E69" s="189" t="s">
        <v>482</v>
      </c>
      <c r="G69" s="174">
        <v>10</v>
      </c>
      <c r="H69" s="174">
        <v>5</v>
      </c>
      <c r="I69" s="174">
        <v>5</v>
      </c>
      <c r="J69" s="174">
        <v>5</v>
      </c>
      <c r="L69" s="174">
        <v>5</v>
      </c>
      <c r="M69" s="174">
        <v>5</v>
      </c>
      <c r="N69" s="174">
        <v>5</v>
      </c>
      <c r="O69" s="174">
        <v>5</v>
      </c>
      <c r="P69" s="174">
        <v>5</v>
      </c>
      <c r="Q69" s="174">
        <v>5</v>
      </c>
      <c r="R69" s="174">
        <v>5</v>
      </c>
      <c r="T69" s="174">
        <v>10</v>
      </c>
      <c r="U69" s="174">
        <v>5</v>
      </c>
      <c r="V69" s="174">
        <v>5</v>
      </c>
      <c r="W69" s="174">
        <v>10</v>
      </c>
      <c r="X69" s="174">
        <v>5</v>
      </c>
      <c r="Y69" s="174">
        <v>10</v>
      </c>
      <c r="AD69" s="174">
        <v>5</v>
      </c>
      <c r="AH69" s="174">
        <v>5</v>
      </c>
      <c r="AK69" s="174">
        <v>5</v>
      </c>
      <c r="AL69" s="174">
        <v>15</v>
      </c>
      <c r="AM69" s="174">
        <v>10</v>
      </c>
      <c r="AP69" s="174">
        <v>5</v>
      </c>
      <c r="AQ69" s="174">
        <v>5</v>
      </c>
      <c r="BB69" s="174">
        <v>10</v>
      </c>
      <c r="BC69" s="174">
        <v>10</v>
      </c>
      <c r="BF69" s="174">
        <v>10</v>
      </c>
      <c r="BG69" s="174">
        <v>10</v>
      </c>
      <c r="BJ69" s="174">
        <v>5</v>
      </c>
      <c r="BL69" s="174">
        <v>5</v>
      </c>
      <c r="BM69" s="174">
        <v>10</v>
      </c>
      <c r="BN69" s="174">
        <v>5</v>
      </c>
      <c r="BO69" s="174">
        <v>5</v>
      </c>
      <c r="BR69" s="174">
        <v>5</v>
      </c>
      <c r="BW69" s="174">
        <v>10</v>
      </c>
      <c r="CA69" s="174">
        <v>5</v>
      </c>
      <c r="CC69" s="174">
        <v>5</v>
      </c>
      <c r="CD69" s="174">
        <v>5</v>
      </c>
      <c r="CG69" s="174">
        <v>5</v>
      </c>
      <c r="CJ69" s="174">
        <v>5</v>
      </c>
      <c r="CL69" s="174">
        <v>10</v>
      </c>
      <c r="CN69" s="174">
        <v>10</v>
      </c>
      <c r="CS69" s="174">
        <v>5</v>
      </c>
      <c r="CT69" s="174">
        <v>10</v>
      </c>
      <c r="CU69" s="174">
        <v>5</v>
      </c>
      <c r="CX69" s="174">
        <v>5</v>
      </c>
      <c r="CY69" s="174">
        <v>5</v>
      </c>
      <c r="CZ69" s="174">
        <v>5</v>
      </c>
      <c r="DA69" s="174">
        <v>5</v>
      </c>
      <c r="EN69" s="182" t="s">
        <v>1156</v>
      </c>
      <c r="EO69" s="268" t="s">
        <v>4193</v>
      </c>
      <c r="EP69" s="268" t="s">
        <v>916</v>
      </c>
      <c r="EQ69" s="268" t="s">
        <v>916</v>
      </c>
      <c r="ER69" s="268" t="s">
        <v>895</v>
      </c>
      <c r="ES69" s="268" t="s">
        <v>895</v>
      </c>
      <c r="ET69" s="268" t="s">
        <v>895</v>
      </c>
      <c r="EU69" s="268" t="s">
        <v>4055</v>
      </c>
      <c r="EV69" s="268" t="s">
        <v>4055</v>
      </c>
      <c r="EW69" s="268" t="s">
        <v>4055</v>
      </c>
      <c r="EX69" s="268" t="s">
        <v>4055</v>
      </c>
      <c r="EY69" s="268" t="s">
        <v>4055</v>
      </c>
      <c r="EZ69" s="268" t="s">
        <v>4055</v>
      </c>
      <c r="FA69" s="268" t="s">
        <v>4184</v>
      </c>
      <c r="FB69" s="268" t="s">
        <v>4184</v>
      </c>
      <c r="FC69" s="268" t="s">
        <v>4184</v>
      </c>
      <c r="FD69" s="268" t="s">
        <v>905</v>
      </c>
      <c r="FE69" s="268" t="s">
        <v>905</v>
      </c>
      <c r="FF69" s="268" t="s">
        <v>905</v>
      </c>
      <c r="FG69" s="268" t="s">
        <v>4186</v>
      </c>
      <c r="FH69" s="268" t="s">
        <v>4186</v>
      </c>
      <c r="FI69" s="268" t="s">
        <v>4186</v>
      </c>
      <c r="FJ69" s="268" t="s">
        <v>4186</v>
      </c>
      <c r="FK69" s="268" t="s">
        <v>4186</v>
      </c>
      <c r="FL69" s="268" t="s">
        <v>4186</v>
      </c>
      <c r="FM69" s="268" t="s">
        <v>4186</v>
      </c>
      <c r="FN69" s="268" t="s">
        <v>4186</v>
      </c>
      <c r="FO69" s="268" t="s">
        <v>4186</v>
      </c>
      <c r="FP69" s="268" t="s">
        <v>4186</v>
      </c>
      <c r="FQ69" s="268" t="s">
        <v>4186</v>
      </c>
      <c r="FR69" s="268" t="s">
        <v>4186</v>
      </c>
      <c r="FS69" s="268" t="s">
        <v>4186</v>
      </c>
      <c r="FT69" s="268" t="s">
        <v>4186</v>
      </c>
      <c r="FU69" s="268" t="s">
        <v>4186</v>
      </c>
      <c r="FV69" s="268" t="s">
        <v>4186</v>
      </c>
      <c r="FW69" s="268" t="s">
        <v>4186</v>
      </c>
      <c r="FX69" s="268" t="s">
        <v>4186</v>
      </c>
      <c r="FY69" s="268" t="s">
        <v>1013</v>
      </c>
      <c r="FZ69" s="268" t="s">
        <v>1013</v>
      </c>
      <c r="GA69" s="202"/>
      <c r="GB69" s="202"/>
      <c r="GC69" s="202"/>
      <c r="GD69" s="182"/>
      <c r="GE69" s="202"/>
      <c r="GF69" s="202"/>
      <c r="GG69" s="202"/>
      <c r="GH69" s="202"/>
      <c r="GI69" s="202"/>
      <c r="GJ69" s="202"/>
      <c r="GK69" s="202"/>
      <c r="GL69" s="202"/>
      <c r="GM69" s="202"/>
      <c r="GN69" s="202"/>
      <c r="GO69" s="202"/>
      <c r="GP69" s="202"/>
      <c r="GQ69" s="202"/>
      <c r="GR69" s="182"/>
      <c r="GS69" s="182"/>
      <c r="GT69" s="182"/>
      <c r="GU69" s="182"/>
      <c r="GV69" s="182"/>
      <c r="GW69" s="182"/>
      <c r="GX69" s="182"/>
      <c r="GY69" s="182"/>
      <c r="GZ69" s="182"/>
      <c r="HB69" s="197">
        <v>66</v>
      </c>
      <c r="HC69" s="194">
        <v>53</v>
      </c>
      <c r="HD69" s="238">
        <v>78</v>
      </c>
      <c r="HE69" s="236">
        <v>25</v>
      </c>
      <c r="HF69" s="183">
        <v>131</v>
      </c>
      <c r="HG69" s="193">
        <f t="shared" si="116"/>
        <v>126</v>
      </c>
      <c r="HH69" s="192" t="e">
        <f t="shared" si="117"/>
        <v>#REF!</v>
      </c>
      <c r="HI69" s="198">
        <v>25</v>
      </c>
      <c r="HJ69" s="185">
        <v>123</v>
      </c>
      <c r="HK69" s="174">
        <v>67</v>
      </c>
      <c r="HL69" s="174">
        <f t="shared" si="83"/>
        <v>338</v>
      </c>
      <c r="HM69" s="174">
        <f t="shared" si="84"/>
        <v>328</v>
      </c>
      <c r="HN69" s="174">
        <f t="shared" si="85"/>
        <v>271</v>
      </c>
      <c r="HO69" s="174">
        <f t="shared" si="86"/>
        <v>224</v>
      </c>
      <c r="HP69" s="174">
        <f t="shared" si="87"/>
        <v>187</v>
      </c>
      <c r="HQ69" s="174">
        <f t="shared" si="88"/>
        <v>177</v>
      </c>
      <c r="HR69" s="174">
        <f t="shared" si="89"/>
        <v>177</v>
      </c>
      <c r="HS69" s="174">
        <f t="shared" si="90"/>
        <v>167</v>
      </c>
      <c r="HT69" s="174">
        <f t="shared" si="91"/>
        <v>157</v>
      </c>
      <c r="HU69" s="174">
        <f t="shared" si="92"/>
        <v>261</v>
      </c>
      <c r="HV69" s="174">
        <f t="shared" si="93"/>
        <v>177</v>
      </c>
      <c r="HW69" s="174">
        <f t="shared" si="94"/>
        <v>167</v>
      </c>
      <c r="HX69" s="174">
        <f t="shared" si="95"/>
        <v>204</v>
      </c>
      <c r="HY69" s="174">
        <f t="shared" si="96"/>
        <v>157</v>
      </c>
      <c r="HZ69" s="174">
        <f t="shared" si="97"/>
        <v>147</v>
      </c>
      <c r="IA69" s="174">
        <f t="shared" si="98"/>
        <v>137</v>
      </c>
      <c r="IB69" s="174">
        <f t="shared" si="99"/>
        <v>194</v>
      </c>
      <c r="IC69" s="174">
        <f t="shared" si="100"/>
        <v>174</v>
      </c>
      <c r="ID69" s="174">
        <f t="shared" si="101"/>
        <v>127</v>
      </c>
      <c r="IE69" s="174">
        <f t="shared" si="102"/>
        <v>164</v>
      </c>
      <c r="IF69" s="174">
        <f t="shared" si="103"/>
        <v>127</v>
      </c>
      <c r="IG69" s="174">
        <f t="shared" si="104"/>
        <v>107</v>
      </c>
      <c r="IH69" s="174">
        <f t="shared" si="105"/>
        <v>97</v>
      </c>
      <c r="II69" s="174">
        <f t="shared" si="106"/>
        <v>77</v>
      </c>
      <c r="IJ69" s="174">
        <v>69</v>
      </c>
      <c r="IR69" s="174">
        <v>2850000</v>
      </c>
      <c r="IS69" s="174">
        <v>67</v>
      </c>
    </row>
    <row r="70" spans="1:253" ht="13.35" customHeight="1" x14ac:dyDescent="0.2">
      <c r="A70" s="183">
        <f t="shared" si="114"/>
        <v>69</v>
      </c>
      <c r="B70" s="183">
        <v>0</v>
      </c>
      <c r="C70" s="183">
        <f t="shared" si="115"/>
        <v>69</v>
      </c>
      <c r="D70" s="174">
        <v>13</v>
      </c>
      <c r="E70" s="189" t="s">
        <v>492</v>
      </c>
      <c r="G70" s="174">
        <v>10</v>
      </c>
      <c r="H70" s="174">
        <v>5</v>
      </c>
      <c r="I70" s="174">
        <v>5</v>
      </c>
      <c r="J70" s="174">
        <v>5</v>
      </c>
      <c r="L70" s="174">
        <v>5</v>
      </c>
      <c r="M70" s="174">
        <v>5</v>
      </c>
      <c r="N70" s="174">
        <v>5</v>
      </c>
      <c r="O70" s="174">
        <v>5</v>
      </c>
      <c r="P70" s="174">
        <v>5</v>
      </c>
      <c r="Q70" s="174">
        <v>5</v>
      </c>
      <c r="R70" s="174">
        <v>5</v>
      </c>
      <c r="T70" s="174">
        <v>10</v>
      </c>
      <c r="U70" s="174">
        <v>5</v>
      </c>
      <c r="V70" s="174">
        <v>5</v>
      </c>
      <c r="W70" s="174">
        <v>10</v>
      </c>
      <c r="X70" s="174">
        <v>5</v>
      </c>
      <c r="Y70" s="174">
        <v>10</v>
      </c>
      <c r="AD70" s="174">
        <v>5</v>
      </c>
      <c r="AH70" s="174">
        <v>5</v>
      </c>
      <c r="AK70" s="174">
        <v>5</v>
      </c>
      <c r="AL70" s="174">
        <v>15</v>
      </c>
      <c r="AM70" s="174">
        <v>10</v>
      </c>
      <c r="AP70" s="174">
        <v>5</v>
      </c>
      <c r="AQ70" s="174">
        <v>5</v>
      </c>
      <c r="AV70" s="174">
        <v>5</v>
      </c>
      <c r="BB70" s="174">
        <v>10</v>
      </c>
      <c r="BC70" s="174">
        <v>10</v>
      </c>
      <c r="BF70" s="174">
        <v>10</v>
      </c>
      <c r="BG70" s="174">
        <v>10</v>
      </c>
      <c r="BJ70" s="174">
        <v>5</v>
      </c>
      <c r="BL70" s="174">
        <v>5</v>
      </c>
      <c r="BN70" s="174">
        <v>5</v>
      </c>
      <c r="BO70" s="174">
        <v>5</v>
      </c>
      <c r="BR70" s="174">
        <v>5</v>
      </c>
      <c r="BW70" s="174">
        <v>10</v>
      </c>
      <c r="CA70" s="174">
        <v>5</v>
      </c>
      <c r="CC70" s="174">
        <v>5</v>
      </c>
      <c r="CD70" s="174">
        <v>5</v>
      </c>
      <c r="CG70" s="174">
        <v>5</v>
      </c>
      <c r="CJ70" s="174">
        <v>5</v>
      </c>
      <c r="CL70" s="174">
        <v>10</v>
      </c>
      <c r="CN70" s="174">
        <v>10</v>
      </c>
      <c r="CS70" s="174">
        <v>5</v>
      </c>
      <c r="CT70" s="174">
        <v>10</v>
      </c>
      <c r="CU70" s="174">
        <v>5</v>
      </c>
      <c r="CX70" s="174">
        <v>5</v>
      </c>
      <c r="CY70" s="174">
        <v>5</v>
      </c>
      <c r="CZ70" s="174">
        <v>5</v>
      </c>
      <c r="DA70" s="174">
        <v>5</v>
      </c>
      <c r="DH70" s="174" t="s">
        <v>1157</v>
      </c>
      <c r="DI70" s="174" t="s">
        <v>1158</v>
      </c>
      <c r="DJ70" s="174" t="s">
        <v>1159</v>
      </c>
      <c r="DK70" s="174" t="s">
        <v>1160</v>
      </c>
      <c r="DL70" s="174" t="s">
        <v>1161</v>
      </c>
      <c r="DM70" s="174" t="s">
        <v>1162</v>
      </c>
      <c r="DN70" s="174" t="s">
        <v>294</v>
      </c>
      <c r="DQ70" s="174" t="s">
        <v>1157</v>
      </c>
      <c r="DR70" s="174" t="s">
        <v>1158</v>
      </c>
      <c r="DS70" s="174" t="s">
        <v>1159</v>
      </c>
      <c r="DT70" s="174" t="s">
        <v>1160</v>
      </c>
      <c r="DU70" s="174" t="s">
        <v>1161</v>
      </c>
      <c r="DV70" s="174" t="s">
        <v>1162</v>
      </c>
      <c r="DW70" s="174" t="s">
        <v>294</v>
      </c>
      <c r="DY70" s="174" t="s">
        <v>1163</v>
      </c>
      <c r="DZ70" s="174" t="s">
        <v>1164</v>
      </c>
      <c r="EA70" s="174" t="s">
        <v>1165</v>
      </c>
      <c r="EB70" s="174" t="s">
        <v>1166</v>
      </c>
      <c r="EC70" s="174" t="s">
        <v>1167</v>
      </c>
      <c r="ED70" s="174" t="s">
        <v>1168</v>
      </c>
      <c r="EE70" s="203">
        <v>0.435</v>
      </c>
      <c r="EF70" s="174">
        <v>-45</v>
      </c>
      <c r="EH70" s="174">
        <v>0</v>
      </c>
      <c r="EI70" s="174">
        <v>0</v>
      </c>
      <c r="EK70" s="204">
        <f>(10*Stats!L30/Stats!B4)</f>
        <v>0</v>
      </c>
      <c r="EL70" s="174" t="s">
        <v>1169</v>
      </c>
      <c r="EN70" s="182"/>
      <c r="EO70" s="268" t="s">
        <v>4193</v>
      </c>
      <c r="EP70" s="268" t="s">
        <v>977</v>
      </c>
      <c r="EQ70" s="268" t="s">
        <v>976</v>
      </c>
      <c r="ER70" s="268" t="s">
        <v>4360</v>
      </c>
      <c r="ES70" s="268" t="s">
        <v>4359</v>
      </c>
      <c r="ET70" s="268" t="s">
        <v>4364</v>
      </c>
      <c r="EU70" s="268" t="s">
        <v>4181</v>
      </c>
      <c r="EV70" s="268" t="s">
        <v>899</v>
      </c>
      <c r="EW70" s="268" t="s">
        <v>4172</v>
      </c>
      <c r="EX70" s="268" t="s">
        <v>4171</v>
      </c>
      <c r="EY70" s="268" t="s">
        <v>4180</v>
      </c>
      <c r="EZ70" s="268" t="s">
        <v>4173</v>
      </c>
      <c r="FA70" s="268" t="s">
        <v>4183</v>
      </c>
      <c r="FB70" s="268" t="s">
        <v>4349</v>
      </c>
      <c r="FC70" s="268" t="s">
        <v>4185</v>
      </c>
      <c r="FD70" s="268" t="s">
        <v>4361</v>
      </c>
      <c r="FE70" s="268" t="s">
        <v>4393</v>
      </c>
      <c r="FF70" s="268" t="s">
        <v>4371</v>
      </c>
      <c r="FG70" s="268" t="s">
        <v>4269</v>
      </c>
      <c r="FH70" s="268" t="s">
        <v>4197</v>
      </c>
      <c r="FI70" s="268" t="s">
        <v>4187</v>
      </c>
      <c r="FJ70" s="268" t="s">
        <v>4188</v>
      </c>
      <c r="FK70" s="268" t="s">
        <v>4195</v>
      </c>
      <c r="FL70" s="268" t="s">
        <v>4198</v>
      </c>
      <c r="FM70" s="268" t="s">
        <v>4199</v>
      </c>
      <c r="FN70" s="268" t="s">
        <v>4200</v>
      </c>
      <c r="FO70" s="268" t="s">
        <v>4189</v>
      </c>
      <c r="FP70" s="268" t="s">
        <v>4388</v>
      </c>
      <c r="FQ70" s="268" t="s">
        <v>4190</v>
      </c>
      <c r="FR70" s="268" t="s">
        <v>4201</v>
      </c>
      <c r="FS70" s="268" t="s">
        <v>4191</v>
      </c>
      <c r="FT70" s="268" t="s">
        <v>4202</v>
      </c>
      <c r="FU70" s="268" t="s">
        <v>4192</v>
      </c>
      <c r="FV70" s="268" t="s">
        <v>4203</v>
      </c>
      <c r="FW70" s="268" t="s">
        <v>4377</v>
      </c>
      <c r="FX70" s="268" t="s">
        <v>4204</v>
      </c>
      <c r="FY70" s="268" t="s">
        <v>913</v>
      </c>
      <c r="FZ70" s="268" t="s">
        <v>1058</v>
      </c>
      <c r="GA70" s="202"/>
      <c r="GB70" s="202"/>
      <c r="GC70" s="202"/>
      <c r="GD70" s="182"/>
      <c r="GE70" s="202"/>
      <c r="GF70" s="202"/>
      <c r="GG70" s="202"/>
      <c r="GH70" s="202"/>
      <c r="GI70" s="202"/>
      <c r="GJ70" s="202"/>
      <c r="GK70" s="202"/>
      <c r="GL70" s="202"/>
      <c r="GM70" s="202"/>
      <c r="GN70" s="202"/>
      <c r="GO70" s="202"/>
      <c r="GP70" s="202"/>
      <c r="GQ70" s="202"/>
      <c r="GR70" s="182"/>
      <c r="GS70" s="182"/>
      <c r="GT70" s="182"/>
      <c r="GU70" s="182"/>
      <c r="GV70" s="182"/>
      <c r="GW70" s="182"/>
      <c r="GX70" s="182"/>
      <c r="GY70" s="182"/>
      <c r="GZ70" s="182"/>
      <c r="HA70" s="174">
        <v>1</v>
      </c>
      <c r="HB70" s="197">
        <v>67</v>
      </c>
      <c r="HC70" s="194">
        <v>54</v>
      </c>
      <c r="HD70" s="238">
        <v>79</v>
      </c>
      <c r="HE70" s="236">
        <v>25</v>
      </c>
      <c r="HF70" s="183">
        <v>132</v>
      </c>
      <c r="HG70" s="193">
        <f t="shared" si="116"/>
        <v>127</v>
      </c>
      <c r="HH70" s="192" t="e">
        <f t="shared" si="117"/>
        <v>#REF!</v>
      </c>
      <c r="HI70" s="198">
        <v>25</v>
      </c>
      <c r="HJ70" s="185">
        <v>123.5</v>
      </c>
      <c r="HK70" s="174">
        <v>68</v>
      </c>
      <c r="HL70" s="174">
        <f t="shared" si="83"/>
        <v>342</v>
      </c>
      <c r="HM70" s="174">
        <f t="shared" si="84"/>
        <v>332</v>
      </c>
      <c r="HN70" s="174">
        <f t="shared" si="85"/>
        <v>274</v>
      </c>
      <c r="HO70" s="174">
        <f t="shared" si="86"/>
        <v>226</v>
      </c>
      <c r="HP70" s="174">
        <f t="shared" si="87"/>
        <v>188</v>
      </c>
      <c r="HQ70" s="174">
        <f t="shared" si="88"/>
        <v>178</v>
      </c>
      <c r="HR70" s="174">
        <f t="shared" si="89"/>
        <v>178</v>
      </c>
      <c r="HS70" s="174">
        <f t="shared" si="90"/>
        <v>168</v>
      </c>
      <c r="HT70" s="174">
        <f t="shared" si="91"/>
        <v>158</v>
      </c>
      <c r="HU70" s="174">
        <f t="shared" si="92"/>
        <v>264</v>
      </c>
      <c r="HV70" s="174">
        <f t="shared" si="93"/>
        <v>178</v>
      </c>
      <c r="HW70" s="174">
        <f t="shared" si="94"/>
        <v>168</v>
      </c>
      <c r="HX70" s="174">
        <f t="shared" si="95"/>
        <v>206</v>
      </c>
      <c r="HY70" s="174">
        <f t="shared" si="96"/>
        <v>158</v>
      </c>
      <c r="HZ70" s="174">
        <f t="shared" si="97"/>
        <v>148</v>
      </c>
      <c r="IA70" s="174">
        <f t="shared" si="98"/>
        <v>138</v>
      </c>
      <c r="IB70" s="174">
        <f t="shared" si="99"/>
        <v>196</v>
      </c>
      <c r="IC70" s="174">
        <f t="shared" si="100"/>
        <v>176</v>
      </c>
      <c r="ID70" s="174">
        <f t="shared" si="101"/>
        <v>128</v>
      </c>
      <c r="IE70" s="174">
        <f t="shared" si="102"/>
        <v>166</v>
      </c>
      <c r="IF70" s="174">
        <f t="shared" si="103"/>
        <v>128</v>
      </c>
      <c r="IG70" s="174">
        <f t="shared" si="104"/>
        <v>108</v>
      </c>
      <c r="IH70" s="174">
        <f t="shared" si="105"/>
        <v>98</v>
      </c>
      <c r="II70" s="174">
        <f t="shared" si="106"/>
        <v>78</v>
      </c>
      <c r="IJ70" s="174">
        <v>70</v>
      </c>
      <c r="IR70" s="174">
        <v>2900000</v>
      </c>
      <c r="IS70" s="174">
        <v>68</v>
      </c>
    </row>
    <row r="71" spans="1:253" ht="13.35" customHeight="1" x14ac:dyDescent="0.2">
      <c r="A71" s="183">
        <f t="shared" si="114"/>
        <v>70</v>
      </c>
      <c r="B71" s="184">
        <f t="shared" ref="B71:B90" si="118">ROUND((A71-67)/5,0)</f>
        <v>1</v>
      </c>
      <c r="C71" s="183">
        <f t="shared" si="115"/>
        <v>70</v>
      </c>
      <c r="D71" s="174">
        <v>14</v>
      </c>
      <c r="E71" s="189" t="s">
        <v>506</v>
      </c>
      <c r="F71" s="174">
        <v>10</v>
      </c>
      <c r="G71" s="174">
        <v>5</v>
      </c>
      <c r="H71" s="174">
        <v>5</v>
      </c>
      <c r="I71" s="174">
        <v>10</v>
      </c>
      <c r="J71" s="174">
        <v>5</v>
      </c>
      <c r="O71" s="174">
        <v>5</v>
      </c>
      <c r="P71" s="174">
        <v>10</v>
      </c>
      <c r="Q71" s="174">
        <v>10</v>
      </c>
      <c r="T71" s="174">
        <v>5</v>
      </c>
      <c r="U71" s="174">
        <v>10</v>
      </c>
      <c r="V71" s="174">
        <v>5</v>
      </c>
      <c r="W71" s="174">
        <v>5</v>
      </c>
      <c r="X71" s="174">
        <v>5</v>
      </c>
      <c r="Y71" s="174">
        <v>5</v>
      </c>
      <c r="AC71" s="174">
        <v>5</v>
      </c>
      <c r="AD71" s="174">
        <v>5</v>
      </c>
      <c r="AH71" s="174">
        <v>10</v>
      </c>
      <c r="AJ71" s="174">
        <v>10</v>
      </c>
      <c r="AQ71" s="174">
        <v>5</v>
      </c>
      <c r="AS71" s="174">
        <v>5</v>
      </c>
      <c r="CS71" s="174">
        <v>15</v>
      </c>
      <c r="CV71" s="174">
        <v>5</v>
      </c>
      <c r="CX71" s="174">
        <v>5</v>
      </c>
      <c r="DA71" s="174">
        <v>15</v>
      </c>
      <c r="DD71" s="174">
        <v>5</v>
      </c>
      <c r="DH71" s="174">
        <v>1</v>
      </c>
      <c r="DI71" s="174" t="s">
        <v>1170</v>
      </c>
      <c r="DJ71" s="174">
        <v>0</v>
      </c>
      <c r="DK71" s="174">
        <v>0</v>
      </c>
      <c r="DL71" s="174">
        <v>0</v>
      </c>
      <c r="DM71" s="174">
        <v>0</v>
      </c>
      <c r="DN71" s="174">
        <v>0</v>
      </c>
      <c r="DQ71" s="174">
        <v>1</v>
      </c>
      <c r="DR71" s="174" t="s">
        <v>1171</v>
      </c>
      <c r="DS71" s="205">
        <v>0</v>
      </c>
      <c r="DT71" s="174">
        <v>0</v>
      </c>
      <c r="DU71" s="174">
        <v>0</v>
      </c>
      <c r="DV71" s="174">
        <v>0</v>
      </c>
      <c r="DW71" s="174">
        <v>0</v>
      </c>
      <c r="DY71" s="174">
        <v>1</v>
      </c>
      <c r="DZ71" s="174" t="s">
        <v>1172</v>
      </c>
      <c r="ED71" s="174" t="s">
        <v>1173</v>
      </c>
      <c r="EE71" s="203">
        <v>0.46040000000000003</v>
      </c>
      <c r="EF71" s="174">
        <v>-45</v>
      </c>
      <c r="EH71" s="174">
        <v>1.0009999999999999</v>
      </c>
      <c r="EI71" s="174">
        <v>-8</v>
      </c>
      <c r="EK71" s="174">
        <f>VLOOKUP(EK70,EH70:EI100,2)</f>
        <v>0</v>
      </c>
      <c r="EL71" s="174" t="s">
        <v>1174</v>
      </c>
      <c r="EO71" s="174" t="s">
        <v>4235</v>
      </c>
      <c r="EP71" s="233" t="s">
        <v>4077</v>
      </c>
      <c r="EQ71" s="233" t="s">
        <v>4078</v>
      </c>
      <c r="ER71" s="174" t="s">
        <v>1179</v>
      </c>
      <c r="ES71" s="174" t="s">
        <v>1179</v>
      </c>
      <c r="ET71" s="174" t="s">
        <v>1179</v>
      </c>
      <c r="EU71" s="234" t="s">
        <v>4302</v>
      </c>
      <c r="EV71" s="174" t="s">
        <v>1182</v>
      </c>
      <c r="EW71" s="174" t="s">
        <v>1180</v>
      </c>
      <c r="EX71" s="174" t="s">
        <v>1180</v>
      </c>
      <c r="EY71" s="174" t="s">
        <v>1181</v>
      </c>
      <c r="EZ71" s="174" t="s">
        <v>1181</v>
      </c>
      <c r="FA71" s="234" t="s">
        <v>4250</v>
      </c>
      <c r="FB71" s="174" t="s">
        <v>4321</v>
      </c>
      <c r="FC71" s="234" t="s">
        <v>4245</v>
      </c>
      <c r="FD71" s="174" t="s">
        <v>456</v>
      </c>
      <c r="FE71" s="174" t="s">
        <v>456</v>
      </c>
      <c r="FF71" s="174" t="s">
        <v>456</v>
      </c>
      <c r="FG71" s="174" t="s">
        <v>1176</v>
      </c>
      <c r="FH71" s="174" t="s">
        <v>1183</v>
      </c>
      <c r="FI71" s="174" t="s">
        <v>1176</v>
      </c>
      <c r="FJ71" s="174" t="s">
        <v>456</v>
      </c>
      <c r="FK71" s="174" t="s">
        <v>1176</v>
      </c>
      <c r="FL71" s="174" t="s">
        <v>1176</v>
      </c>
      <c r="FM71" s="174" t="s">
        <v>1199</v>
      </c>
      <c r="FN71" s="174" t="s">
        <v>702</v>
      </c>
      <c r="FO71" s="174" t="s">
        <v>456</v>
      </c>
      <c r="FP71" s="174" t="s">
        <v>543</v>
      </c>
      <c r="FQ71" s="174" t="s">
        <v>1289</v>
      </c>
      <c r="FR71" s="174" t="s">
        <v>1183</v>
      </c>
      <c r="FS71" s="174" t="s">
        <v>456</v>
      </c>
      <c r="FT71" s="234" t="s">
        <v>1190</v>
      </c>
      <c r="FU71" s="174" t="s">
        <v>456</v>
      </c>
      <c r="FV71" s="234" t="s">
        <v>4265</v>
      </c>
      <c r="FW71" s="174" t="s">
        <v>1194</v>
      </c>
      <c r="FX71" s="174" t="s">
        <v>456</v>
      </c>
      <c r="FY71" s="174" t="s">
        <v>1195</v>
      </c>
      <c r="FZ71" s="174" t="s">
        <v>456</v>
      </c>
      <c r="GQ71" s="233"/>
      <c r="GR71" s="233"/>
      <c r="HA71" s="174">
        <v>2</v>
      </c>
      <c r="HB71" s="197">
        <v>68</v>
      </c>
      <c r="HC71" s="194">
        <v>54</v>
      </c>
      <c r="HD71" s="238">
        <v>79</v>
      </c>
      <c r="HE71" s="236">
        <v>25</v>
      </c>
      <c r="HF71" s="183">
        <v>133</v>
      </c>
      <c r="HG71" s="193">
        <f t="shared" si="116"/>
        <v>128</v>
      </c>
      <c r="HH71" s="192" t="e">
        <f t="shared" si="117"/>
        <v>#REF!</v>
      </c>
      <c r="HI71" s="198">
        <v>25</v>
      </c>
      <c r="HJ71" s="185">
        <v>124</v>
      </c>
      <c r="HK71" s="174">
        <v>69</v>
      </c>
      <c r="HL71" s="174">
        <f t="shared" si="83"/>
        <v>346</v>
      </c>
      <c r="HM71" s="174">
        <f t="shared" si="84"/>
        <v>336</v>
      </c>
      <c r="HN71" s="174">
        <f t="shared" si="85"/>
        <v>277</v>
      </c>
      <c r="HO71" s="174">
        <f t="shared" si="86"/>
        <v>228</v>
      </c>
      <c r="HP71" s="174">
        <f t="shared" si="87"/>
        <v>189</v>
      </c>
      <c r="HQ71" s="174">
        <f t="shared" si="88"/>
        <v>179</v>
      </c>
      <c r="HR71" s="174">
        <f t="shared" si="89"/>
        <v>179</v>
      </c>
      <c r="HS71" s="174">
        <f t="shared" si="90"/>
        <v>169</v>
      </c>
      <c r="HT71" s="174">
        <f t="shared" si="91"/>
        <v>159</v>
      </c>
      <c r="HU71" s="174">
        <f t="shared" si="92"/>
        <v>267</v>
      </c>
      <c r="HV71" s="174">
        <f t="shared" si="93"/>
        <v>179</v>
      </c>
      <c r="HW71" s="174">
        <f t="shared" si="94"/>
        <v>169</v>
      </c>
      <c r="HX71" s="174">
        <f t="shared" si="95"/>
        <v>208</v>
      </c>
      <c r="HY71" s="174">
        <f t="shared" si="96"/>
        <v>159</v>
      </c>
      <c r="HZ71" s="174">
        <f t="shared" si="97"/>
        <v>149</v>
      </c>
      <c r="IA71" s="174">
        <f t="shared" si="98"/>
        <v>139</v>
      </c>
      <c r="IB71" s="174">
        <f t="shared" si="99"/>
        <v>198</v>
      </c>
      <c r="IC71" s="174">
        <f t="shared" si="100"/>
        <v>178</v>
      </c>
      <c r="ID71" s="174">
        <f t="shared" si="101"/>
        <v>129</v>
      </c>
      <c r="IE71" s="174">
        <f t="shared" si="102"/>
        <v>168</v>
      </c>
      <c r="IF71" s="174">
        <f t="shared" si="103"/>
        <v>129</v>
      </c>
      <c r="IG71" s="174">
        <f t="shared" si="104"/>
        <v>109</v>
      </c>
      <c r="IH71" s="174">
        <f t="shared" si="105"/>
        <v>99</v>
      </c>
      <c r="II71" s="174">
        <f t="shared" si="106"/>
        <v>79</v>
      </c>
      <c r="IJ71" s="174">
        <v>71</v>
      </c>
      <c r="IR71" s="174">
        <v>2950000</v>
      </c>
      <c r="IS71" s="174">
        <v>69</v>
      </c>
    </row>
    <row r="72" spans="1:253" ht="13.35" customHeight="1" x14ac:dyDescent="0.2">
      <c r="A72" s="183">
        <f t="shared" si="114"/>
        <v>71</v>
      </c>
      <c r="B72" s="184">
        <f t="shared" si="118"/>
        <v>1</v>
      </c>
      <c r="C72" s="183">
        <f t="shared" si="115"/>
        <v>71</v>
      </c>
      <c r="D72" s="174">
        <v>15</v>
      </c>
      <c r="E72" s="189" t="s">
        <v>508</v>
      </c>
      <c r="F72" s="174">
        <v>10</v>
      </c>
      <c r="H72" s="174">
        <v>5</v>
      </c>
      <c r="U72" s="174">
        <v>10</v>
      </c>
      <c r="AH72" s="174">
        <v>10</v>
      </c>
      <c r="AJ72" s="174">
        <v>10</v>
      </c>
      <c r="CV72" s="174">
        <v>15</v>
      </c>
      <c r="DH72" s="174">
        <v>2</v>
      </c>
      <c r="DI72" s="174" t="s">
        <v>1196</v>
      </c>
      <c r="DJ72" s="174">
        <v>0</v>
      </c>
      <c r="DK72" s="174">
        <v>0</v>
      </c>
      <c r="DL72" s="174">
        <v>0</v>
      </c>
      <c r="DM72" s="174">
        <v>0</v>
      </c>
      <c r="DN72" s="174">
        <v>0</v>
      </c>
      <c r="DQ72" s="174">
        <v>2</v>
      </c>
      <c r="DR72" s="174" t="s">
        <v>1196</v>
      </c>
      <c r="DS72" s="205">
        <v>0</v>
      </c>
      <c r="DT72" s="174">
        <v>0</v>
      </c>
      <c r="DU72" s="174">
        <v>0</v>
      </c>
      <c r="DV72" s="174">
        <v>0</v>
      </c>
      <c r="DW72" s="174">
        <v>0</v>
      </c>
      <c r="DY72" s="174">
        <v>2</v>
      </c>
      <c r="DZ72" s="174" t="s">
        <v>1197</v>
      </c>
      <c r="EA72" s="174">
        <v>1</v>
      </c>
      <c r="ED72" s="174" t="s">
        <v>1198</v>
      </c>
      <c r="EE72" s="203">
        <v>0.48580000000000001</v>
      </c>
      <c r="EF72" s="174">
        <v>-45</v>
      </c>
      <c r="EH72" s="174">
        <v>2.0009999999999999</v>
      </c>
      <c r="EI72" s="174">
        <v>-16</v>
      </c>
      <c r="EO72" s="234" t="s">
        <v>4236</v>
      </c>
      <c r="EP72" s="234" t="s">
        <v>4076</v>
      </c>
      <c r="EQ72" s="174" t="s">
        <v>1180</v>
      </c>
      <c r="ER72" s="174" t="s">
        <v>1200</v>
      </c>
      <c r="ES72" s="174" t="s">
        <v>1200</v>
      </c>
      <c r="ET72" s="174" t="s">
        <v>1200</v>
      </c>
      <c r="EU72" s="174" t="s">
        <v>4304</v>
      </c>
      <c r="EV72" s="174" t="s">
        <v>1204</v>
      </c>
      <c r="EW72" s="174" t="s">
        <v>1203</v>
      </c>
      <c r="EX72" s="174" t="s">
        <v>1201</v>
      </c>
      <c r="EY72" s="174" t="s">
        <v>1202</v>
      </c>
      <c r="EZ72" s="174" t="s">
        <v>1202</v>
      </c>
      <c r="FA72" s="174" t="s">
        <v>4251</v>
      </c>
      <c r="FB72" s="174" t="s">
        <v>4323</v>
      </c>
      <c r="FC72" s="234" t="s">
        <v>4244</v>
      </c>
      <c r="FD72" s="174" t="s">
        <v>506</v>
      </c>
      <c r="FE72" s="174" t="s">
        <v>1177</v>
      </c>
      <c r="FF72" s="174" t="s">
        <v>1177</v>
      </c>
      <c r="FG72" s="174" t="s">
        <v>456</v>
      </c>
      <c r="FH72" s="234" t="s">
        <v>4265</v>
      </c>
      <c r="FI72" s="174" t="s">
        <v>456</v>
      </c>
      <c r="FJ72" s="174" t="s">
        <v>414</v>
      </c>
      <c r="FK72" s="174" t="s">
        <v>456</v>
      </c>
      <c r="FL72" s="174" t="s">
        <v>456</v>
      </c>
      <c r="FM72" s="174" t="s">
        <v>1216</v>
      </c>
      <c r="FN72" s="174" t="s">
        <v>1284</v>
      </c>
      <c r="FO72" s="174" t="s">
        <v>414</v>
      </c>
      <c r="FP72" s="174" t="s">
        <v>1332</v>
      </c>
      <c r="FQ72" s="174" t="s">
        <v>456</v>
      </c>
      <c r="FR72" s="234" t="s">
        <v>4265</v>
      </c>
      <c r="FS72" s="174" t="s">
        <v>414</v>
      </c>
      <c r="FT72" s="234" t="s">
        <v>4265</v>
      </c>
      <c r="FU72" s="174" t="s">
        <v>414</v>
      </c>
      <c r="FV72" s="234" t="s">
        <v>4267</v>
      </c>
      <c r="FW72" s="174" t="s">
        <v>661</v>
      </c>
      <c r="FX72" s="174" t="s">
        <v>414</v>
      </c>
      <c r="FY72" s="174" t="s">
        <v>456</v>
      </c>
      <c r="FZ72" s="174" t="s">
        <v>1239</v>
      </c>
      <c r="GQ72" s="234"/>
      <c r="HA72" s="174">
        <v>3</v>
      </c>
      <c r="HB72" s="197">
        <v>69</v>
      </c>
      <c r="HC72" s="194">
        <v>55</v>
      </c>
      <c r="HD72" s="238">
        <v>80</v>
      </c>
      <c r="HE72" s="236">
        <v>25</v>
      </c>
      <c r="HF72" s="183">
        <v>134</v>
      </c>
      <c r="HG72" s="193">
        <f t="shared" si="116"/>
        <v>129</v>
      </c>
      <c r="HH72" s="192" t="e">
        <f t="shared" si="117"/>
        <v>#REF!</v>
      </c>
      <c r="HI72" s="198">
        <v>25</v>
      </c>
      <c r="HJ72" s="185">
        <v>124.5</v>
      </c>
      <c r="HK72" s="182">
        <v>70</v>
      </c>
      <c r="HL72" s="174">
        <f t="shared" si="83"/>
        <v>350</v>
      </c>
      <c r="HM72" s="174">
        <f t="shared" si="84"/>
        <v>340</v>
      </c>
      <c r="HN72" s="174">
        <f t="shared" si="85"/>
        <v>280</v>
      </c>
      <c r="HO72" s="174">
        <f t="shared" si="86"/>
        <v>230</v>
      </c>
      <c r="HP72" s="174">
        <f t="shared" si="87"/>
        <v>190</v>
      </c>
      <c r="HQ72" s="174">
        <f t="shared" si="88"/>
        <v>180</v>
      </c>
      <c r="HR72" s="174">
        <f t="shared" si="89"/>
        <v>180</v>
      </c>
      <c r="HS72" s="174">
        <f t="shared" si="90"/>
        <v>170</v>
      </c>
      <c r="HT72" s="174">
        <f t="shared" si="91"/>
        <v>160</v>
      </c>
      <c r="HU72" s="174">
        <f t="shared" si="92"/>
        <v>270</v>
      </c>
      <c r="HV72" s="174">
        <f t="shared" si="93"/>
        <v>180</v>
      </c>
      <c r="HW72" s="174">
        <f t="shared" si="94"/>
        <v>170</v>
      </c>
      <c r="HX72" s="174">
        <f t="shared" si="95"/>
        <v>210</v>
      </c>
      <c r="HY72" s="174">
        <f t="shared" si="96"/>
        <v>160</v>
      </c>
      <c r="HZ72" s="174">
        <f t="shared" si="97"/>
        <v>150</v>
      </c>
      <c r="IA72" s="174">
        <f t="shared" si="98"/>
        <v>140</v>
      </c>
      <c r="IB72" s="174">
        <f t="shared" si="99"/>
        <v>200</v>
      </c>
      <c r="IC72" s="174">
        <f t="shared" si="100"/>
        <v>180</v>
      </c>
      <c r="ID72" s="174">
        <f t="shared" si="101"/>
        <v>130</v>
      </c>
      <c r="IE72" s="174">
        <f t="shared" si="102"/>
        <v>170</v>
      </c>
      <c r="IF72" s="174">
        <f t="shared" si="103"/>
        <v>130</v>
      </c>
      <c r="IG72" s="174">
        <f t="shared" si="104"/>
        <v>110</v>
      </c>
      <c r="IH72" s="174">
        <f t="shared" si="105"/>
        <v>100</v>
      </c>
      <c r="II72" s="174">
        <f t="shared" si="106"/>
        <v>80</v>
      </c>
      <c r="IJ72" s="182">
        <v>72</v>
      </c>
      <c r="IR72" s="174">
        <v>3000000</v>
      </c>
      <c r="IS72" s="174">
        <v>70</v>
      </c>
    </row>
    <row r="73" spans="1:253" ht="13.35" customHeight="1" x14ac:dyDescent="0.2">
      <c r="A73" s="183">
        <f t="shared" si="114"/>
        <v>72</v>
      </c>
      <c r="B73" s="184">
        <f t="shared" si="118"/>
        <v>1</v>
      </c>
      <c r="C73" s="183">
        <f t="shared" si="115"/>
        <v>72</v>
      </c>
      <c r="D73" s="174">
        <v>16</v>
      </c>
      <c r="E73" s="189" t="s">
        <v>517</v>
      </c>
      <c r="X73" s="174">
        <v>5</v>
      </c>
      <c r="Y73" s="174">
        <v>5</v>
      </c>
      <c r="AF73" s="174">
        <v>5</v>
      </c>
      <c r="AK73" s="174">
        <v>5</v>
      </c>
      <c r="AT73" s="174">
        <v>10</v>
      </c>
      <c r="BH73" s="174">
        <v>5</v>
      </c>
      <c r="BQ73" s="174">
        <v>10</v>
      </c>
      <c r="BU73" s="174">
        <v>10</v>
      </c>
      <c r="BY73" s="174">
        <v>10</v>
      </c>
      <c r="CB73" s="174">
        <v>10</v>
      </c>
      <c r="CC73" s="174">
        <v>10</v>
      </c>
      <c r="CM73" s="174">
        <v>10</v>
      </c>
      <c r="CT73" s="174">
        <v>5</v>
      </c>
      <c r="CU73" s="174">
        <v>10</v>
      </c>
      <c r="CV73" s="174">
        <v>5</v>
      </c>
      <c r="DH73" s="174">
        <v>3</v>
      </c>
      <c r="DI73" s="174" t="s">
        <v>1213</v>
      </c>
      <c r="DJ73" s="174">
        <v>0</v>
      </c>
      <c r="DK73" s="174">
        <v>0</v>
      </c>
      <c r="DL73" s="174">
        <v>0</v>
      </c>
      <c r="DM73" s="174">
        <v>0</v>
      </c>
      <c r="DN73" s="174">
        <v>0</v>
      </c>
      <c r="DQ73" s="174">
        <v>3</v>
      </c>
      <c r="DR73" s="174" t="s">
        <v>1213</v>
      </c>
      <c r="DS73" s="205">
        <v>0</v>
      </c>
      <c r="DT73" s="174">
        <v>0</v>
      </c>
      <c r="DU73" s="174">
        <v>0</v>
      </c>
      <c r="DV73" s="174">
        <v>0</v>
      </c>
      <c r="DW73" s="174">
        <v>0</v>
      </c>
      <c r="DY73" s="174">
        <v>10</v>
      </c>
      <c r="DZ73" s="174" t="s">
        <v>1214</v>
      </c>
      <c r="EA73" s="174">
        <v>5</v>
      </c>
      <c r="ED73" s="174" t="s">
        <v>1215</v>
      </c>
      <c r="EE73" s="203">
        <v>0.51119999999999999</v>
      </c>
      <c r="EF73" s="174">
        <v>-45</v>
      </c>
      <c r="EH73" s="174">
        <v>3.0009999999999999</v>
      </c>
      <c r="EI73" s="174">
        <v>-24</v>
      </c>
      <c r="EO73" s="174" t="s">
        <v>4319</v>
      </c>
      <c r="EP73" s="174" t="s">
        <v>1180</v>
      </c>
      <c r="EQ73" s="174" t="s">
        <v>1234</v>
      </c>
      <c r="ER73" s="174" t="s">
        <v>1195</v>
      </c>
      <c r="ES73" s="174" t="s">
        <v>1195</v>
      </c>
      <c r="ET73" s="234" t="s">
        <v>1195</v>
      </c>
      <c r="EU73" s="174" t="s">
        <v>422</v>
      </c>
      <c r="EV73" s="174" t="s">
        <v>1221</v>
      </c>
      <c r="EW73" s="174" t="s">
        <v>1220</v>
      </c>
      <c r="EX73" s="174" t="s">
        <v>1218</v>
      </c>
      <c r="EY73" s="174" t="s">
        <v>1219</v>
      </c>
      <c r="EZ73" s="174" t="s">
        <v>1219</v>
      </c>
      <c r="FA73" s="174" t="s">
        <v>618</v>
      </c>
      <c r="FB73" s="234" t="s">
        <v>4248</v>
      </c>
      <c r="FC73" s="234" t="s">
        <v>4246</v>
      </c>
      <c r="FD73" s="174" t="s">
        <v>1176</v>
      </c>
      <c r="FE73" s="174" t="s">
        <v>1224</v>
      </c>
      <c r="FF73" s="174" t="s">
        <v>1224</v>
      </c>
      <c r="FG73" s="174" t="s">
        <v>1177</v>
      </c>
      <c r="FH73" s="234" t="s">
        <v>4267</v>
      </c>
      <c r="FI73" s="174" t="s">
        <v>1177</v>
      </c>
      <c r="FJ73" s="174" t="s">
        <v>661</v>
      </c>
      <c r="FK73" s="174" t="s">
        <v>1177</v>
      </c>
      <c r="FL73" s="174" t="s">
        <v>1177</v>
      </c>
      <c r="FM73" s="174" t="s">
        <v>1231</v>
      </c>
      <c r="FN73" s="174" t="s">
        <v>543</v>
      </c>
      <c r="FO73" s="174" t="s">
        <v>661</v>
      </c>
      <c r="FP73" s="174" t="s">
        <v>4282</v>
      </c>
      <c r="FQ73" s="174" t="s">
        <v>414</v>
      </c>
      <c r="FR73" s="234" t="s">
        <v>4267</v>
      </c>
      <c r="FS73" s="174" t="s">
        <v>661</v>
      </c>
      <c r="FT73" s="234" t="s">
        <v>4267</v>
      </c>
      <c r="FU73" s="174" t="s">
        <v>661</v>
      </c>
      <c r="FV73" s="234" t="s">
        <v>4266</v>
      </c>
      <c r="FW73" s="174" t="s">
        <v>1179</v>
      </c>
      <c r="FX73" s="174" t="s">
        <v>661</v>
      </c>
      <c r="FY73" s="174" t="s">
        <v>661</v>
      </c>
      <c r="FZ73" s="174" t="s">
        <v>506</v>
      </c>
      <c r="HA73" s="174">
        <v>4</v>
      </c>
      <c r="HB73" s="197">
        <v>70</v>
      </c>
      <c r="HC73" s="194">
        <v>55</v>
      </c>
      <c r="HD73" s="238">
        <v>80</v>
      </c>
      <c r="HE73" s="236">
        <v>25</v>
      </c>
      <c r="HF73" s="183">
        <v>135</v>
      </c>
      <c r="HG73" s="193">
        <f t="shared" si="116"/>
        <v>130</v>
      </c>
      <c r="HH73" s="192" t="e">
        <f t="shared" si="117"/>
        <v>#REF!</v>
      </c>
      <c r="HI73" s="198">
        <v>25</v>
      </c>
      <c r="HJ73" s="185">
        <v>125</v>
      </c>
      <c r="HK73" s="174">
        <v>71</v>
      </c>
      <c r="HL73" s="174">
        <f t="shared" si="83"/>
        <v>354</v>
      </c>
      <c r="HM73" s="174">
        <f t="shared" si="84"/>
        <v>344</v>
      </c>
      <c r="HN73" s="174">
        <f t="shared" si="85"/>
        <v>283</v>
      </c>
      <c r="HO73" s="174">
        <f t="shared" si="86"/>
        <v>232</v>
      </c>
      <c r="HP73" s="174">
        <f t="shared" si="87"/>
        <v>191</v>
      </c>
      <c r="HQ73" s="174">
        <f t="shared" si="88"/>
        <v>181</v>
      </c>
      <c r="HR73" s="174">
        <f t="shared" si="89"/>
        <v>181</v>
      </c>
      <c r="HS73" s="174">
        <f t="shared" si="90"/>
        <v>171</v>
      </c>
      <c r="HT73" s="174">
        <f t="shared" si="91"/>
        <v>161</v>
      </c>
      <c r="HU73" s="174">
        <f t="shared" si="92"/>
        <v>273</v>
      </c>
      <c r="HV73" s="174">
        <f t="shared" si="93"/>
        <v>181</v>
      </c>
      <c r="HW73" s="174">
        <f t="shared" si="94"/>
        <v>171</v>
      </c>
      <c r="HX73" s="174">
        <f t="shared" si="95"/>
        <v>212</v>
      </c>
      <c r="HY73" s="174">
        <f t="shared" si="96"/>
        <v>161</v>
      </c>
      <c r="HZ73" s="174">
        <f t="shared" si="97"/>
        <v>151</v>
      </c>
      <c r="IA73" s="174">
        <f t="shared" si="98"/>
        <v>141</v>
      </c>
      <c r="IB73" s="174">
        <f t="shared" si="99"/>
        <v>202</v>
      </c>
      <c r="IC73" s="174">
        <f t="shared" si="100"/>
        <v>182</v>
      </c>
      <c r="ID73" s="174">
        <f t="shared" si="101"/>
        <v>131</v>
      </c>
      <c r="IE73" s="174">
        <f t="shared" si="102"/>
        <v>172</v>
      </c>
      <c r="IF73" s="174">
        <f t="shared" si="103"/>
        <v>131</v>
      </c>
      <c r="IG73" s="174">
        <f t="shared" si="104"/>
        <v>111</v>
      </c>
      <c r="IH73" s="174">
        <f t="shared" si="105"/>
        <v>101</v>
      </c>
      <c r="II73" s="174">
        <f t="shared" si="106"/>
        <v>81</v>
      </c>
      <c r="IJ73" s="174">
        <v>73</v>
      </c>
      <c r="IR73" s="174">
        <v>3050000</v>
      </c>
      <c r="IS73" s="174">
        <v>71</v>
      </c>
    </row>
    <row r="74" spans="1:253" ht="13.35" customHeight="1" x14ac:dyDescent="0.2">
      <c r="A74" s="183">
        <f t="shared" si="114"/>
        <v>73</v>
      </c>
      <c r="B74" s="184">
        <f t="shared" si="118"/>
        <v>1</v>
      </c>
      <c r="C74" s="183">
        <f t="shared" si="115"/>
        <v>73</v>
      </c>
      <c r="D74" s="174">
        <v>17</v>
      </c>
      <c r="E74" s="189" t="s">
        <v>525</v>
      </c>
      <c r="J74" s="174">
        <v>5</v>
      </c>
      <c r="AS74" s="174">
        <v>5</v>
      </c>
      <c r="AU74" s="174">
        <v>5</v>
      </c>
      <c r="AV74" s="174">
        <v>15</v>
      </c>
      <c r="AZ74" s="174">
        <v>15</v>
      </c>
      <c r="BV74" s="174">
        <v>10</v>
      </c>
      <c r="CX74" s="174">
        <v>5</v>
      </c>
      <c r="DB74" s="174">
        <v>15</v>
      </c>
      <c r="DC74" s="174">
        <v>15</v>
      </c>
      <c r="DD74" s="174">
        <v>15</v>
      </c>
      <c r="DH74" s="174">
        <v>4</v>
      </c>
      <c r="DI74" s="174" t="s">
        <v>1228</v>
      </c>
      <c r="DJ74" s="174">
        <v>0</v>
      </c>
      <c r="DK74" s="174">
        <v>0</v>
      </c>
      <c r="DL74" s="174">
        <v>0</v>
      </c>
      <c r="DM74" s="174">
        <v>0</v>
      </c>
      <c r="DN74" s="174">
        <v>0</v>
      </c>
      <c r="DQ74" s="174">
        <v>4</v>
      </c>
      <c r="DR74" s="174" t="s">
        <v>1228</v>
      </c>
      <c r="DS74" s="205">
        <v>0</v>
      </c>
      <c r="DT74" s="174">
        <v>0</v>
      </c>
      <c r="DU74" s="174">
        <v>0</v>
      </c>
      <c r="DV74" s="174">
        <v>0</v>
      </c>
      <c r="DW74" s="174">
        <v>0</v>
      </c>
      <c r="DY74" s="174">
        <v>36</v>
      </c>
      <c r="DZ74" s="174" t="s">
        <v>1229</v>
      </c>
      <c r="EA74" s="174">
        <v>20</v>
      </c>
      <c r="ED74" s="174" t="s">
        <v>1230</v>
      </c>
      <c r="EE74" s="203">
        <v>0.53660000000000008</v>
      </c>
      <c r="EF74" s="174">
        <v>-45</v>
      </c>
      <c r="EH74" s="174">
        <v>4.0010000000000003</v>
      </c>
      <c r="EI74" s="174">
        <v>-32</v>
      </c>
      <c r="EK74" s="174">
        <v>-999</v>
      </c>
      <c r="EL74" s="174" t="s">
        <v>300</v>
      </c>
      <c r="EO74" s="234" t="s">
        <v>4226</v>
      </c>
      <c r="EP74" s="174" t="s">
        <v>1234</v>
      </c>
      <c r="EQ74" s="233" t="s">
        <v>4073</v>
      </c>
      <c r="ER74" s="174" t="s">
        <v>1233</v>
      </c>
      <c r="ES74" s="174" t="s">
        <v>1233</v>
      </c>
      <c r="ET74" s="174" t="s">
        <v>1233</v>
      </c>
      <c r="EU74" s="174" t="s">
        <v>427</v>
      </c>
      <c r="EV74" s="174" t="s">
        <v>456</v>
      </c>
      <c r="EW74" s="174" t="s">
        <v>1234</v>
      </c>
      <c r="EX74" s="174" t="s">
        <v>1234</v>
      </c>
      <c r="EY74" s="174" t="s">
        <v>1234</v>
      </c>
      <c r="EZ74" s="174" t="s">
        <v>1234</v>
      </c>
      <c r="FA74" s="174" t="s">
        <v>702</v>
      </c>
      <c r="FB74" s="234" t="s">
        <v>1181</v>
      </c>
      <c r="FC74" s="174" t="s">
        <v>1178</v>
      </c>
      <c r="FD74" s="174" t="s">
        <v>1232</v>
      </c>
      <c r="FE74" s="174" t="s">
        <v>1236</v>
      </c>
      <c r="FF74" s="174" t="s">
        <v>1232</v>
      </c>
      <c r="FG74" s="174" t="s">
        <v>609</v>
      </c>
      <c r="FH74" s="234" t="s">
        <v>4266</v>
      </c>
      <c r="FI74" s="174" t="s">
        <v>702</v>
      </c>
      <c r="FJ74" s="174" t="s">
        <v>1177</v>
      </c>
      <c r="FK74" s="174" t="s">
        <v>506</v>
      </c>
      <c r="FL74" s="174" t="s">
        <v>609</v>
      </c>
      <c r="FM74" s="174" t="s">
        <v>1244</v>
      </c>
      <c r="FN74" s="174" t="s">
        <v>1332</v>
      </c>
      <c r="FO74" s="174" t="s">
        <v>1178</v>
      </c>
      <c r="FP74" s="234" t="s">
        <v>4288</v>
      </c>
      <c r="FQ74" s="174" t="s">
        <v>661</v>
      </c>
      <c r="FR74" s="234" t="s">
        <v>4266</v>
      </c>
      <c r="FS74" s="174" t="s">
        <v>1177</v>
      </c>
      <c r="FT74" s="234" t="s">
        <v>4266</v>
      </c>
      <c r="FU74" s="174" t="s">
        <v>1177</v>
      </c>
      <c r="FV74" s="174" t="s">
        <v>1250</v>
      </c>
      <c r="FW74" s="174" t="s">
        <v>618</v>
      </c>
      <c r="FX74" s="174" t="s">
        <v>1177</v>
      </c>
      <c r="FY74" s="174" t="s">
        <v>1177</v>
      </c>
      <c r="FZ74" s="174" t="s">
        <v>609</v>
      </c>
      <c r="GR74" s="233"/>
      <c r="HA74" s="174">
        <v>5</v>
      </c>
      <c r="HB74" s="197">
        <v>71</v>
      </c>
      <c r="HC74" s="194">
        <v>56</v>
      </c>
      <c r="HD74" s="238">
        <v>81</v>
      </c>
      <c r="HE74" s="236">
        <v>25</v>
      </c>
      <c r="HF74" s="183">
        <v>136</v>
      </c>
      <c r="HG74" s="193">
        <f t="shared" si="116"/>
        <v>131</v>
      </c>
      <c r="HH74" s="192" t="e">
        <f t="shared" si="117"/>
        <v>#REF!</v>
      </c>
      <c r="HI74" s="198">
        <v>25</v>
      </c>
      <c r="HJ74" s="185">
        <v>125.5</v>
      </c>
      <c r="HK74" s="174">
        <v>72</v>
      </c>
      <c r="HL74" s="174">
        <f t="shared" si="83"/>
        <v>358</v>
      </c>
      <c r="HM74" s="174">
        <f t="shared" si="84"/>
        <v>348</v>
      </c>
      <c r="HN74" s="174">
        <f t="shared" si="85"/>
        <v>286</v>
      </c>
      <c r="HO74" s="174">
        <f t="shared" si="86"/>
        <v>234</v>
      </c>
      <c r="HP74" s="174">
        <f t="shared" si="87"/>
        <v>192</v>
      </c>
      <c r="HQ74" s="174">
        <f t="shared" si="88"/>
        <v>182</v>
      </c>
      <c r="HR74" s="174">
        <f t="shared" si="89"/>
        <v>182</v>
      </c>
      <c r="HS74" s="174">
        <f t="shared" si="90"/>
        <v>172</v>
      </c>
      <c r="HT74" s="174">
        <f t="shared" si="91"/>
        <v>162</v>
      </c>
      <c r="HU74" s="174">
        <f t="shared" si="92"/>
        <v>276</v>
      </c>
      <c r="HV74" s="174">
        <f t="shared" si="93"/>
        <v>182</v>
      </c>
      <c r="HW74" s="174">
        <f t="shared" si="94"/>
        <v>172</v>
      </c>
      <c r="HX74" s="174">
        <f t="shared" si="95"/>
        <v>214</v>
      </c>
      <c r="HY74" s="174">
        <f t="shared" si="96"/>
        <v>162</v>
      </c>
      <c r="HZ74" s="174">
        <f t="shared" si="97"/>
        <v>152</v>
      </c>
      <c r="IA74" s="174">
        <f t="shared" si="98"/>
        <v>142</v>
      </c>
      <c r="IB74" s="174">
        <f t="shared" si="99"/>
        <v>204</v>
      </c>
      <c r="IC74" s="174">
        <f t="shared" si="100"/>
        <v>184</v>
      </c>
      <c r="ID74" s="174">
        <f t="shared" si="101"/>
        <v>132</v>
      </c>
      <c r="IE74" s="174">
        <f t="shared" si="102"/>
        <v>174</v>
      </c>
      <c r="IF74" s="174">
        <f t="shared" si="103"/>
        <v>132</v>
      </c>
      <c r="IG74" s="174">
        <f t="shared" si="104"/>
        <v>112</v>
      </c>
      <c r="IH74" s="174">
        <f t="shared" si="105"/>
        <v>102</v>
      </c>
      <c r="II74" s="174">
        <f t="shared" si="106"/>
        <v>82</v>
      </c>
      <c r="IJ74" s="174">
        <v>74</v>
      </c>
      <c r="IR74" s="174">
        <v>3100000</v>
      </c>
      <c r="IS74" s="174">
        <v>72</v>
      </c>
    </row>
    <row r="75" spans="1:253" ht="13.35" customHeight="1" x14ac:dyDescent="0.2">
      <c r="A75" s="183">
        <f t="shared" si="114"/>
        <v>74</v>
      </c>
      <c r="B75" s="184">
        <f t="shared" si="118"/>
        <v>1</v>
      </c>
      <c r="C75" s="183">
        <f t="shared" si="115"/>
        <v>74</v>
      </c>
      <c r="D75" s="174">
        <v>18</v>
      </c>
      <c r="E75" s="189" t="s">
        <v>543</v>
      </c>
      <c r="K75" s="174">
        <v>10</v>
      </c>
      <c r="L75" s="174">
        <v>5</v>
      </c>
      <c r="S75" s="174">
        <v>5</v>
      </c>
      <c r="DH75" s="174">
        <v>5</v>
      </c>
      <c r="DI75" s="174" t="s">
        <v>1240</v>
      </c>
      <c r="DJ75" s="174">
        <v>0</v>
      </c>
      <c r="DK75" s="174">
        <v>0</v>
      </c>
      <c r="DL75" s="174">
        <v>0</v>
      </c>
      <c r="DM75" s="174">
        <v>0</v>
      </c>
      <c r="DN75" s="174">
        <v>1</v>
      </c>
      <c r="DQ75" s="174">
        <v>5</v>
      </c>
      <c r="DR75" s="174" t="s">
        <v>1240</v>
      </c>
      <c r="DS75" s="205">
        <v>0</v>
      </c>
      <c r="DT75" s="174">
        <v>0</v>
      </c>
      <c r="DU75" s="174">
        <v>0</v>
      </c>
      <c r="DV75" s="174">
        <v>0</v>
      </c>
      <c r="DW75" s="174">
        <v>1</v>
      </c>
      <c r="DY75" s="174">
        <v>46</v>
      </c>
      <c r="DZ75" s="174" t="s">
        <v>1241</v>
      </c>
      <c r="EA75" s="174">
        <v>20</v>
      </c>
      <c r="EB75" s="174">
        <v>1</v>
      </c>
      <c r="ED75" s="174" t="s">
        <v>1242</v>
      </c>
      <c r="EE75" s="203">
        <v>0.56200000000000017</v>
      </c>
      <c r="EF75" s="174">
        <v>-45</v>
      </c>
      <c r="EH75" s="174">
        <v>5.0010000000000003</v>
      </c>
      <c r="EI75" s="174">
        <v>-40</v>
      </c>
      <c r="EK75" s="174">
        <v>-100</v>
      </c>
      <c r="EL75" s="174" t="s">
        <v>1243</v>
      </c>
      <c r="EO75" s="234" t="s">
        <v>4263</v>
      </c>
      <c r="EP75" s="233" t="s">
        <v>4073</v>
      </c>
      <c r="EQ75" s="174" t="s">
        <v>456</v>
      </c>
      <c r="ER75" s="174" t="s">
        <v>1246</v>
      </c>
      <c r="ES75" s="174" t="s">
        <v>1246</v>
      </c>
      <c r="ET75" s="174" t="s">
        <v>1246</v>
      </c>
      <c r="EU75" s="174" t="s">
        <v>452</v>
      </c>
      <c r="EV75" s="174" t="s">
        <v>414</v>
      </c>
      <c r="EW75" s="174" t="s">
        <v>1249</v>
      </c>
      <c r="EX75" s="174" t="s">
        <v>1247</v>
      </c>
      <c r="EY75" s="190" t="s">
        <v>4205</v>
      </c>
      <c r="EZ75" s="190" t="s">
        <v>4205</v>
      </c>
      <c r="FA75" s="234" t="s">
        <v>4324</v>
      </c>
      <c r="FB75" s="234" t="s">
        <v>4205</v>
      </c>
      <c r="FC75" s="174" t="s">
        <v>618</v>
      </c>
      <c r="FD75" s="174" t="s">
        <v>1262</v>
      </c>
      <c r="FE75" s="174" t="s">
        <v>702</v>
      </c>
      <c r="FF75" s="174" t="s">
        <v>702</v>
      </c>
      <c r="FG75" s="174" t="s">
        <v>458</v>
      </c>
      <c r="FH75" s="174" t="s">
        <v>1250</v>
      </c>
      <c r="FI75" s="174" t="s">
        <v>458</v>
      </c>
      <c r="FJ75" s="174" t="s">
        <v>702</v>
      </c>
      <c r="FK75" s="174" t="s">
        <v>609</v>
      </c>
      <c r="FL75" s="174" t="s">
        <v>458</v>
      </c>
      <c r="FM75" s="174" t="s">
        <v>414</v>
      </c>
      <c r="FN75" s="174" t="s">
        <v>4282</v>
      </c>
      <c r="FO75" s="174" t="s">
        <v>1232</v>
      </c>
      <c r="FP75" s="234" t="s">
        <v>4289</v>
      </c>
      <c r="FQ75" s="174" t="s">
        <v>1177</v>
      </c>
      <c r="FR75" s="174" t="s">
        <v>1250</v>
      </c>
      <c r="FS75" s="174" t="s">
        <v>702</v>
      </c>
      <c r="FT75" s="174" t="s">
        <v>1250</v>
      </c>
      <c r="FU75" s="174" t="s">
        <v>702</v>
      </c>
      <c r="FV75" s="234" t="s">
        <v>4268</v>
      </c>
      <c r="FW75" s="174" t="s">
        <v>506</v>
      </c>
      <c r="FX75" s="174" t="s">
        <v>702</v>
      </c>
      <c r="FY75" s="174" t="s">
        <v>702</v>
      </c>
      <c r="FZ75" s="174" t="s">
        <v>458</v>
      </c>
      <c r="GQ75" s="233"/>
      <c r="HA75" s="174">
        <v>6</v>
      </c>
      <c r="HB75" s="197">
        <v>72</v>
      </c>
      <c r="HC75" s="194">
        <v>56</v>
      </c>
      <c r="HD75" s="238">
        <v>81</v>
      </c>
      <c r="HE75" s="236">
        <v>25</v>
      </c>
      <c r="HF75" s="183">
        <v>137</v>
      </c>
      <c r="HG75" s="193">
        <f t="shared" si="116"/>
        <v>132</v>
      </c>
      <c r="HH75" s="192" t="e">
        <f t="shared" si="117"/>
        <v>#REF!</v>
      </c>
      <c r="HI75" s="198">
        <v>25</v>
      </c>
      <c r="HJ75" s="185">
        <v>126</v>
      </c>
      <c r="HK75" s="174">
        <v>73</v>
      </c>
      <c r="HL75" s="174">
        <f t="shared" si="83"/>
        <v>362</v>
      </c>
      <c r="HM75" s="174">
        <f t="shared" si="84"/>
        <v>352</v>
      </c>
      <c r="HN75" s="174">
        <f t="shared" si="85"/>
        <v>289</v>
      </c>
      <c r="HO75" s="174">
        <f t="shared" si="86"/>
        <v>236</v>
      </c>
      <c r="HP75" s="174">
        <f t="shared" si="87"/>
        <v>193</v>
      </c>
      <c r="HQ75" s="174">
        <f t="shared" si="88"/>
        <v>183</v>
      </c>
      <c r="HR75" s="174">
        <f t="shared" si="89"/>
        <v>183</v>
      </c>
      <c r="HS75" s="174">
        <f t="shared" si="90"/>
        <v>173</v>
      </c>
      <c r="HT75" s="174">
        <f t="shared" si="91"/>
        <v>163</v>
      </c>
      <c r="HU75" s="174">
        <f t="shared" si="92"/>
        <v>279</v>
      </c>
      <c r="HV75" s="174">
        <f t="shared" si="93"/>
        <v>183</v>
      </c>
      <c r="HW75" s="174">
        <f t="shared" si="94"/>
        <v>173</v>
      </c>
      <c r="HX75" s="174">
        <f t="shared" si="95"/>
        <v>216</v>
      </c>
      <c r="HY75" s="174">
        <f t="shared" si="96"/>
        <v>163</v>
      </c>
      <c r="HZ75" s="174">
        <f t="shared" si="97"/>
        <v>153</v>
      </c>
      <c r="IA75" s="174">
        <f t="shared" si="98"/>
        <v>143</v>
      </c>
      <c r="IB75" s="174">
        <f t="shared" si="99"/>
        <v>206</v>
      </c>
      <c r="IC75" s="174">
        <f t="shared" si="100"/>
        <v>186</v>
      </c>
      <c r="ID75" s="174">
        <f t="shared" si="101"/>
        <v>133</v>
      </c>
      <c r="IE75" s="174">
        <f t="shared" si="102"/>
        <v>176</v>
      </c>
      <c r="IF75" s="174">
        <f t="shared" si="103"/>
        <v>133</v>
      </c>
      <c r="IG75" s="174">
        <f t="shared" si="104"/>
        <v>113</v>
      </c>
      <c r="IH75" s="174">
        <f t="shared" si="105"/>
        <v>103</v>
      </c>
      <c r="II75" s="174">
        <f t="shared" si="106"/>
        <v>83</v>
      </c>
      <c r="IJ75" s="174">
        <v>75</v>
      </c>
      <c r="IR75" s="174">
        <v>3150000</v>
      </c>
      <c r="IS75" s="174">
        <v>73</v>
      </c>
    </row>
    <row r="76" spans="1:253" ht="13.35" customHeight="1" x14ac:dyDescent="0.2">
      <c r="A76" s="183">
        <f t="shared" si="114"/>
        <v>75</v>
      </c>
      <c r="B76" s="184">
        <f t="shared" si="118"/>
        <v>2</v>
      </c>
      <c r="C76" s="183">
        <f t="shared" si="115"/>
        <v>75</v>
      </c>
      <c r="D76" s="174">
        <v>19</v>
      </c>
      <c r="E76" s="189" t="s">
        <v>546</v>
      </c>
      <c r="M76" s="174">
        <v>5</v>
      </c>
      <c r="O76" s="174">
        <v>10</v>
      </c>
      <c r="R76" s="174">
        <v>5</v>
      </c>
      <c r="W76" s="174">
        <v>5</v>
      </c>
      <c r="X76" s="174">
        <v>5</v>
      </c>
      <c r="Y76" s="174">
        <v>5</v>
      </c>
      <c r="AD76" s="174">
        <v>5</v>
      </c>
      <c r="AJ76" s="174">
        <v>5</v>
      </c>
      <c r="AK76" s="174">
        <v>10</v>
      </c>
      <c r="AP76" s="174">
        <v>5</v>
      </c>
      <c r="AQ76" s="174">
        <v>5</v>
      </c>
      <c r="AT76" s="174">
        <v>5</v>
      </c>
      <c r="AW76" s="174">
        <v>5</v>
      </c>
      <c r="AX76" s="174">
        <v>10</v>
      </c>
      <c r="AY76" s="174">
        <v>10</v>
      </c>
      <c r="BA76" s="174">
        <v>10</v>
      </c>
      <c r="BD76" s="174">
        <v>5</v>
      </c>
      <c r="BF76" s="174">
        <v>5</v>
      </c>
      <c r="BG76" s="174">
        <v>10</v>
      </c>
      <c r="BH76" s="174">
        <v>15</v>
      </c>
      <c r="BI76" s="174">
        <v>5</v>
      </c>
      <c r="BJ76" s="174">
        <v>10</v>
      </c>
      <c r="BK76" s="174">
        <v>10</v>
      </c>
      <c r="BL76" s="174">
        <v>10</v>
      </c>
      <c r="BM76" s="174">
        <v>5</v>
      </c>
      <c r="BN76" s="174">
        <v>10</v>
      </c>
      <c r="BO76" s="174">
        <v>10</v>
      </c>
      <c r="BP76" s="174">
        <v>10</v>
      </c>
      <c r="BQ76" s="174">
        <v>10</v>
      </c>
      <c r="BR76" s="174">
        <v>20</v>
      </c>
      <c r="BS76" s="174">
        <v>5</v>
      </c>
      <c r="BT76" s="174">
        <v>10</v>
      </c>
      <c r="BU76" s="174">
        <v>10</v>
      </c>
      <c r="BV76" s="174">
        <v>5</v>
      </c>
      <c r="BW76" s="174">
        <v>10</v>
      </c>
      <c r="BX76" s="174">
        <v>10</v>
      </c>
      <c r="BY76" s="174">
        <v>5</v>
      </c>
      <c r="BZ76" s="174">
        <v>10</v>
      </c>
      <c r="CA76" s="174">
        <v>5</v>
      </c>
      <c r="CB76" s="174">
        <v>5</v>
      </c>
      <c r="CC76" s="174">
        <v>10</v>
      </c>
      <c r="CD76" s="174">
        <v>5</v>
      </c>
      <c r="CE76" s="174">
        <v>5</v>
      </c>
      <c r="CF76" s="174">
        <v>15</v>
      </c>
      <c r="CG76" s="174">
        <v>5</v>
      </c>
      <c r="CH76" s="174">
        <v>10</v>
      </c>
      <c r="CI76" s="174">
        <v>5</v>
      </c>
      <c r="CJ76" s="174">
        <v>5</v>
      </c>
      <c r="CK76" s="174">
        <v>10</v>
      </c>
      <c r="CL76" s="174">
        <v>5</v>
      </c>
      <c r="CM76" s="174">
        <v>15</v>
      </c>
      <c r="CN76" s="174">
        <v>5</v>
      </c>
      <c r="CO76" s="174">
        <v>10</v>
      </c>
      <c r="CP76" s="174">
        <v>5</v>
      </c>
      <c r="CQ76" s="174">
        <v>10</v>
      </c>
      <c r="CY76" s="174">
        <v>5</v>
      </c>
      <c r="DC76" s="174">
        <v>5</v>
      </c>
      <c r="DH76" s="174">
        <v>6</v>
      </c>
      <c r="DI76" s="174" t="s">
        <v>1253</v>
      </c>
      <c r="DJ76" s="174">
        <v>0</v>
      </c>
      <c r="DK76" s="174">
        <v>-20</v>
      </c>
      <c r="DL76" s="174">
        <v>5</v>
      </c>
      <c r="DM76" s="174">
        <v>0</v>
      </c>
      <c r="DN76" s="174">
        <v>1</v>
      </c>
      <c r="DQ76" s="174">
        <v>6</v>
      </c>
      <c r="DR76" s="174" t="s">
        <v>1253</v>
      </c>
      <c r="DS76" s="205">
        <v>0</v>
      </c>
      <c r="DT76" s="174">
        <v>-8</v>
      </c>
      <c r="DU76" s="174">
        <v>0</v>
      </c>
      <c r="DV76" s="174">
        <v>0</v>
      </c>
      <c r="DW76" s="174">
        <v>1</v>
      </c>
      <c r="DY76" s="174">
        <v>57</v>
      </c>
      <c r="DZ76" s="174" t="s">
        <v>1254</v>
      </c>
      <c r="EB76" s="174">
        <v>5</v>
      </c>
      <c r="ED76" s="174" t="s">
        <v>1255</v>
      </c>
      <c r="EE76" s="203">
        <v>0.58739999999999992</v>
      </c>
      <c r="EF76" s="174">
        <v>-40</v>
      </c>
      <c r="EH76" s="174">
        <v>6.0010000000000003</v>
      </c>
      <c r="EI76" s="174">
        <v>-48</v>
      </c>
      <c r="EK76" s="174">
        <v>-65</v>
      </c>
      <c r="EL76" s="174" t="s">
        <v>304</v>
      </c>
      <c r="EO76" s="234" t="s">
        <v>4264</v>
      </c>
      <c r="EP76" s="174" t="s">
        <v>456</v>
      </c>
      <c r="EQ76" s="174" t="s">
        <v>661</v>
      </c>
      <c r="ER76" s="174" t="s">
        <v>1257</v>
      </c>
      <c r="ES76" s="174" t="s">
        <v>1257</v>
      </c>
      <c r="ET76" s="174" t="s">
        <v>1257</v>
      </c>
      <c r="EU76" s="234" t="s">
        <v>4330</v>
      </c>
      <c r="EV76" s="174" t="s">
        <v>661</v>
      </c>
      <c r="EW76" s="174" t="s">
        <v>1260</v>
      </c>
      <c r="EX76" s="174" t="s">
        <v>1258</v>
      </c>
      <c r="EY76" s="174" t="s">
        <v>1259</v>
      </c>
      <c r="EZ76" s="174" t="s">
        <v>1259</v>
      </c>
      <c r="FA76" s="174" t="s">
        <v>458</v>
      </c>
      <c r="FB76" s="234" t="s">
        <v>4320</v>
      </c>
      <c r="FC76" s="174" t="s">
        <v>506</v>
      </c>
      <c r="FD76" s="174" t="s">
        <v>458</v>
      </c>
      <c r="FE76" s="174" t="s">
        <v>1262</v>
      </c>
      <c r="FF76" s="174" t="s">
        <v>1262</v>
      </c>
      <c r="FG76" s="174" t="s">
        <v>527</v>
      </c>
      <c r="FH76" s="234" t="s">
        <v>4268</v>
      </c>
      <c r="FI76" s="174" t="s">
        <v>527</v>
      </c>
      <c r="FJ76" s="174" t="s">
        <v>1239</v>
      </c>
      <c r="FK76" s="174" t="s">
        <v>458</v>
      </c>
      <c r="FL76" s="174" t="s">
        <v>527</v>
      </c>
      <c r="FM76" s="174" t="s">
        <v>661</v>
      </c>
      <c r="FN76" s="174" t="s">
        <v>1268</v>
      </c>
      <c r="FO76" s="174" t="s">
        <v>1256</v>
      </c>
      <c r="FP76" s="174" t="s">
        <v>4283</v>
      </c>
      <c r="FQ76" s="174" t="s">
        <v>702</v>
      </c>
      <c r="FR76" s="234" t="s">
        <v>4268</v>
      </c>
      <c r="FS76" s="174" t="s">
        <v>1239</v>
      </c>
      <c r="FT76" s="234" t="s">
        <v>4268</v>
      </c>
      <c r="FU76" s="174" t="s">
        <v>1239</v>
      </c>
      <c r="FV76" s="174" t="s">
        <v>1270</v>
      </c>
      <c r="FW76" s="174" t="s">
        <v>1264</v>
      </c>
      <c r="FX76" s="174" t="s">
        <v>1239</v>
      </c>
      <c r="FY76" s="174" t="s">
        <v>1239</v>
      </c>
      <c r="FZ76" s="174" t="s">
        <v>459</v>
      </c>
      <c r="HA76" s="174">
        <v>7</v>
      </c>
      <c r="HB76" s="197">
        <v>73</v>
      </c>
      <c r="HC76" s="194">
        <v>57</v>
      </c>
      <c r="HD76" s="238">
        <v>82</v>
      </c>
      <c r="HE76" s="236">
        <v>25</v>
      </c>
      <c r="HF76" s="183">
        <v>138</v>
      </c>
      <c r="HG76" s="193">
        <f t="shared" si="116"/>
        <v>133</v>
      </c>
      <c r="HH76" s="192" t="e">
        <f t="shared" si="117"/>
        <v>#REF!</v>
      </c>
      <c r="HI76" s="198">
        <v>25</v>
      </c>
      <c r="HJ76" s="185">
        <v>126.5</v>
      </c>
      <c r="HK76" s="174">
        <v>74</v>
      </c>
      <c r="HL76" s="174">
        <f t="shared" si="83"/>
        <v>366</v>
      </c>
      <c r="HM76" s="174">
        <f t="shared" si="84"/>
        <v>356</v>
      </c>
      <c r="HN76" s="174">
        <f t="shared" si="85"/>
        <v>292</v>
      </c>
      <c r="HO76" s="174">
        <f t="shared" si="86"/>
        <v>238</v>
      </c>
      <c r="HP76" s="174">
        <f t="shared" si="87"/>
        <v>194</v>
      </c>
      <c r="HQ76" s="174">
        <f t="shared" si="88"/>
        <v>184</v>
      </c>
      <c r="HR76" s="174">
        <f t="shared" si="89"/>
        <v>184</v>
      </c>
      <c r="HS76" s="174">
        <f t="shared" si="90"/>
        <v>174</v>
      </c>
      <c r="HT76" s="174">
        <f t="shared" si="91"/>
        <v>164</v>
      </c>
      <c r="HU76" s="174">
        <f t="shared" si="92"/>
        <v>282</v>
      </c>
      <c r="HV76" s="174">
        <f t="shared" si="93"/>
        <v>184</v>
      </c>
      <c r="HW76" s="174">
        <f t="shared" si="94"/>
        <v>174</v>
      </c>
      <c r="HX76" s="174">
        <f t="shared" si="95"/>
        <v>218</v>
      </c>
      <c r="HY76" s="174">
        <f t="shared" si="96"/>
        <v>164</v>
      </c>
      <c r="HZ76" s="174">
        <f t="shared" si="97"/>
        <v>154</v>
      </c>
      <c r="IA76" s="174">
        <f t="shared" si="98"/>
        <v>144</v>
      </c>
      <c r="IB76" s="174">
        <f t="shared" si="99"/>
        <v>208</v>
      </c>
      <c r="IC76" s="174">
        <f t="shared" si="100"/>
        <v>188</v>
      </c>
      <c r="ID76" s="174">
        <f t="shared" si="101"/>
        <v>134</v>
      </c>
      <c r="IE76" s="174">
        <f t="shared" si="102"/>
        <v>178</v>
      </c>
      <c r="IF76" s="174">
        <f t="shared" si="103"/>
        <v>134</v>
      </c>
      <c r="IG76" s="174">
        <f t="shared" si="104"/>
        <v>114</v>
      </c>
      <c r="IH76" s="174">
        <f t="shared" si="105"/>
        <v>104</v>
      </c>
      <c r="II76" s="174">
        <f t="shared" si="106"/>
        <v>84</v>
      </c>
      <c r="IJ76" s="174">
        <v>76</v>
      </c>
      <c r="IR76" s="174">
        <v>3200000</v>
      </c>
      <c r="IS76" s="174">
        <v>74</v>
      </c>
    </row>
    <row r="77" spans="1:253" ht="13.35" customHeight="1" x14ac:dyDescent="0.2">
      <c r="A77" s="183">
        <f t="shared" si="114"/>
        <v>76</v>
      </c>
      <c r="B77" s="184">
        <f t="shared" si="118"/>
        <v>2</v>
      </c>
      <c r="C77" s="183">
        <f t="shared" si="115"/>
        <v>76</v>
      </c>
      <c r="D77" s="174">
        <v>20</v>
      </c>
      <c r="E77" s="189" t="s">
        <v>556</v>
      </c>
      <c r="X77" s="174">
        <v>10</v>
      </c>
      <c r="AL77" s="174">
        <v>10</v>
      </c>
      <c r="AM77" s="174">
        <v>5</v>
      </c>
      <c r="AS77" s="174">
        <v>10</v>
      </c>
      <c r="AT77" s="174">
        <v>15</v>
      </c>
      <c r="AW77" s="174">
        <v>5</v>
      </c>
      <c r="AX77" s="174">
        <v>10</v>
      </c>
      <c r="BA77" s="174">
        <v>10</v>
      </c>
      <c r="BC77" s="174">
        <v>5</v>
      </c>
      <c r="BE77" s="174">
        <v>5</v>
      </c>
      <c r="BF77" s="174">
        <v>5</v>
      </c>
      <c r="BI77" s="174">
        <v>5</v>
      </c>
      <c r="BJ77" s="174">
        <v>5</v>
      </c>
      <c r="BK77" s="174">
        <v>5</v>
      </c>
      <c r="BL77" s="174">
        <v>10</v>
      </c>
      <c r="BM77" s="174">
        <v>5</v>
      </c>
      <c r="BN77" s="174">
        <v>5</v>
      </c>
      <c r="BO77" s="174">
        <v>10</v>
      </c>
      <c r="BP77" s="174">
        <v>5</v>
      </c>
      <c r="BQ77" s="174">
        <v>10</v>
      </c>
      <c r="BR77" s="174">
        <v>5</v>
      </c>
      <c r="BT77" s="174">
        <v>5</v>
      </c>
      <c r="BU77" s="174">
        <v>5</v>
      </c>
      <c r="BV77" s="174">
        <v>5</v>
      </c>
      <c r="BW77" s="174">
        <v>5</v>
      </c>
      <c r="BX77" s="174">
        <v>10</v>
      </c>
      <c r="BY77" s="174">
        <v>5</v>
      </c>
      <c r="BZ77" s="174">
        <v>5</v>
      </c>
      <c r="CA77" s="174">
        <v>5</v>
      </c>
      <c r="CB77" s="174">
        <v>5</v>
      </c>
      <c r="CC77" s="174">
        <v>5</v>
      </c>
      <c r="CD77" s="174">
        <v>5</v>
      </c>
      <c r="CE77" s="174">
        <v>5</v>
      </c>
      <c r="CF77" s="174">
        <v>5</v>
      </c>
      <c r="CG77" s="174">
        <v>5</v>
      </c>
      <c r="CJ77" s="174">
        <v>10</v>
      </c>
      <c r="CL77" s="174">
        <v>5</v>
      </c>
      <c r="CN77" s="174">
        <v>10</v>
      </c>
      <c r="CQ77" s="174">
        <v>10</v>
      </c>
      <c r="CU77" s="174">
        <v>20</v>
      </c>
      <c r="CV77" s="174">
        <v>5</v>
      </c>
      <c r="DH77" s="174">
        <v>7</v>
      </c>
      <c r="DI77" s="174" t="s">
        <v>1265</v>
      </c>
      <c r="DJ77" s="174">
        <v>-10</v>
      </c>
      <c r="DK77" s="174">
        <v>-40</v>
      </c>
      <c r="DL77" s="174">
        <v>15</v>
      </c>
      <c r="DM77" s="174">
        <v>10</v>
      </c>
      <c r="DN77" s="174">
        <v>1</v>
      </c>
      <c r="DQ77" s="174">
        <v>7</v>
      </c>
      <c r="DR77" s="174" t="s">
        <v>1265</v>
      </c>
      <c r="DS77" s="205">
        <v>0</v>
      </c>
      <c r="DT77" s="174">
        <v>-25</v>
      </c>
      <c r="DU77" s="174">
        <v>4</v>
      </c>
      <c r="DV77" s="174">
        <v>0</v>
      </c>
      <c r="DW77" s="174">
        <v>1</v>
      </c>
      <c r="DY77" s="174">
        <v>71</v>
      </c>
      <c r="DZ77" s="174" t="s">
        <v>1266</v>
      </c>
      <c r="EC77" s="174">
        <v>2</v>
      </c>
      <c r="ED77" s="174" t="s">
        <v>1267</v>
      </c>
      <c r="EE77" s="203">
        <v>0.6127999999999999</v>
      </c>
      <c r="EF77" s="174">
        <v>-40</v>
      </c>
      <c r="EH77" s="174">
        <v>7.0010000000000003</v>
      </c>
      <c r="EI77" s="174">
        <v>-56</v>
      </c>
      <c r="EK77" s="174">
        <v>-40</v>
      </c>
      <c r="EL77" s="174" t="s">
        <v>308</v>
      </c>
      <c r="EO77" s="234" t="s">
        <v>4227</v>
      </c>
      <c r="EP77" s="174" t="s">
        <v>661</v>
      </c>
      <c r="EQ77" s="174" t="s">
        <v>4074</v>
      </c>
      <c r="ER77" s="174" t="s">
        <v>1178</v>
      </c>
      <c r="ES77" s="174" t="s">
        <v>1178</v>
      </c>
      <c r="ET77" s="174" t="s">
        <v>1246</v>
      </c>
      <c r="EU77" s="174" t="s">
        <v>1284</v>
      </c>
      <c r="EV77" s="174" t="s">
        <v>1177</v>
      </c>
      <c r="EW77" s="174" t="s">
        <v>414</v>
      </c>
      <c r="EX77" s="174" t="s">
        <v>1178</v>
      </c>
      <c r="EY77" s="174" t="s">
        <v>456</v>
      </c>
      <c r="EZ77" s="174" t="s">
        <v>1269</v>
      </c>
      <c r="FA77" s="174" t="s">
        <v>459</v>
      </c>
      <c r="FB77" s="174" t="s">
        <v>618</v>
      </c>
      <c r="FC77" s="174" t="s">
        <v>702</v>
      </c>
      <c r="FD77" s="174" t="s">
        <v>527</v>
      </c>
      <c r="FE77" s="174" t="s">
        <v>1217</v>
      </c>
      <c r="FF77" s="174" t="s">
        <v>506</v>
      </c>
      <c r="FG77" s="174" t="s">
        <v>415</v>
      </c>
      <c r="FH77" s="174" t="s">
        <v>1270</v>
      </c>
      <c r="FI77" s="174" t="s">
        <v>415</v>
      </c>
      <c r="FJ77" s="174" t="s">
        <v>1217</v>
      </c>
      <c r="FK77" s="174" t="s">
        <v>527</v>
      </c>
      <c r="FL77" s="174" t="s">
        <v>415</v>
      </c>
      <c r="FM77" s="174" t="s">
        <v>1176</v>
      </c>
      <c r="FN77" s="174" t="s">
        <v>548</v>
      </c>
      <c r="FO77" s="174" t="s">
        <v>1217</v>
      </c>
      <c r="FP77" s="174" t="s">
        <v>4390</v>
      </c>
      <c r="FQ77" s="174" t="s">
        <v>1239</v>
      </c>
      <c r="FR77" s="174" t="s">
        <v>1270</v>
      </c>
      <c r="FS77" s="174" t="s">
        <v>506</v>
      </c>
      <c r="FT77" s="174" t="s">
        <v>1177</v>
      </c>
      <c r="FU77" s="174" t="s">
        <v>1217</v>
      </c>
      <c r="FV77" s="174" t="s">
        <v>4292</v>
      </c>
      <c r="FW77" s="174" t="s">
        <v>665</v>
      </c>
      <c r="FX77" s="174" t="s">
        <v>1217</v>
      </c>
      <c r="FY77" s="174" t="s">
        <v>506</v>
      </c>
      <c r="FZ77" s="174" t="s">
        <v>666</v>
      </c>
      <c r="HA77" s="174">
        <v>8</v>
      </c>
      <c r="HB77" s="197">
        <v>74</v>
      </c>
      <c r="HC77" s="194">
        <v>57</v>
      </c>
      <c r="HD77" s="238">
        <v>82</v>
      </c>
      <c r="HE77" s="236">
        <v>25</v>
      </c>
      <c r="HF77" s="183">
        <v>139</v>
      </c>
      <c r="HG77" s="193">
        <f t="shared" si="116"/>
        <v>134</v>
      </c>
      <c r="HH77" s="192" t="e">
        <f t="shared" si="117"/>
        <v>#REF!</v>
      </c>
      <c r="HI77" s="198">
        <v>25</v>
      </c>
      <c r="HJ77" s="185">
        <v>127</v>
      </c>
      <c r="HK77" s="174">
        <v>75</v>
      </c>
      <c r="HL77" s="174">
        <f t="shared" si="83"/>
        <v>370</v>
      </c>
      <c r="HM77" s="174">
        <f t="shared" si="84"/>
        <v>360</v>
      </c>
      <c r="HN77" s="174">
        <f t="shared" si="85"/>
        <v>295</v>
      </c>
      <c r="HO77" s="174">
        <f t="shared" si="86"/>
        <v>240</v>
      </c>
      <c r="HP77" s="174">
        <f t="shared" si="87"/>
        <v>195</v>
      </c>
      <c r="HQ77" s="174">
        <f t="shared" si="88"/>
        <v>185</v>
      </c>
      <c r="HR77" s="174">
        <f t="shared" si="89"/>
        <v>185</v>
      </c>
      <c r="HS77" s="174">
        <f t="shared" si="90"/>
        <v>175</v>
      </c>
      <c r="HT77" s="174">
        <f t="shared" si="91"/>
        <v>165</v>
      </c>
      <c r="HU77" s="174">
        <f t="shared" si="92"/>
        <v>285</v>
      </c>
      <c r="HV77" s="174">
        <f t="shared" si="93"/>
        <v>185</v>
      </c>
      <c r="HW77" s="174">
        <f t="shared" si="94"/>
        <v>175</v>
      </c>
      <c r="HX77" s="174">
        <f t="shared" si="95"/>
        <v>220</v>
      </c>
      <c r="HY77" s="174">
        <f t="shared" si="96"/>
        <v>165</v>
      </c>
      <c r="HZ77" s="174">
        <f t="shared" si="97"/>
        <v>155</v>
      </c>
      <c r="IA77" s="174">
        <f t="shared" si="98"/>
        <v>145</v>
      </c>
      <c r="IB77" s="174">
        <f t="shared" si="99"/>
        <v>210</v>
      </c>
      <c r="IC77" s="174">
        <f t="shared" si="100"/>
        <v>190</v>
      </c>
      <c r="ID77" s="174">
        <f t="shared" si="101"/>
        <v>135</v>
      </c>
      <c r="IE77" s="174">
        <f t="shared" si="102"/>
        <v>180</v>
      </c>
      <c r="IF77" s="174">
        <f t="shared" si="103"/>
        <v>135</v>
      </c>
      <c r="IG77" s="174">
        <f t="shared" si="104"/>
        <v>115</v>
      </c>
      <c r="IH77" s="174">
        <f t="shared" si="105"/>
        <v>105</v>
      </c>
      <c r="II77" s="174">
        <f t="shared" si="106"/>
        <v>85</v>
      </c>
      <c r="IJ77" s="174">
        <v>77</v>
      </c>
      <c r="IR77" s="174">
        <v>3250000</v>
      </c>
      <c r="IS77" s="174">
        <v>75</v>
      </c>
    </row>
    <row r="78" spans="1:253" ht="13.35" customHeight="1" x14ac:dyDescent="0.2">
      <c r="A78" s="183">
        <f t="shared" si="114"/>
        <v>77</v>
      </c>
      <c r="B78" s="184">
        <f t="shared" si="118"/>
        <v>2</v>
      </c>
      <c r="C78" s="183">
        <f t="shared" si="115"/>
        <v>77</v>
      </c>
      <c r="D78" s="174">
        <v>21</v>
      </c>
      <c r="E78" s="189" t="s">
        <v>569</v>
      </c>
      <c r="K78" s="174">
        <v>10</v>
      </c>
      <c r="L78" s="174">
        <v>10</v>
      </c>
      <c r="M78" s="174">
        <v>5</v>
      </c>
      <c r="N78" s="174">
        <v>5</v>
      </c>
      <c r="O78" s="174">
        <v>5</v>
      </c>
      <c r="P78" s="174">
        <v>5</v>
      </c>
      <c r="Q78" s="174">
        <v>5</v>
      </c>
      <c r="R78" s="174">
        <v>5</v>
      </c>
      <c r="S78" s="174">
        <v>10</v>
      </c>
      <c r="W78" s="174">
        <v>5</v>
      </c>
      <c r="X78" s="174">
        <v>10</v>
      </c>
      <c r="AA78" s="174">
        <v>10</v>
      </c>
      <c r="AB78" s="174">
        <v>10</v>
      </c>
      <c r="AC78" s="174">
        <v>5</v>
      </c>
      <c r="AF78" s="174">
        <v>15</v>
      </c>
      <c r="AG78" s="174">
        <v>10</v>
      </c>
      <c r="AL78" s="174">
        <v>10</v>
      </c>
      <c r="AM78" s="174">
        <v>5</v>
      </c>
      <c r="AO78" s="174">
        <v>10</v>
      </c>
      <c r="AP78" s="174">
        <v>10</v>
      </c>
      <c r="AS78" s="174">
        <v>10</v>
      </c>
      <c r="AT78" s="174">
        <v>15</v>
      </c>
      <c r="AW78" s="174">
        <v>5</v>
      </c>
      <c r="AX78" s="174">
        <v>10</v>
      </c>
      <c r="BA78" s="174">
        <v>10</v>
      </c>
      <c r="BC78" s="174">
        <v>5</v>
      </c>
      <c r="BD78" s="174">
        <v>5</v>
      </c>
      <c r="BE78" s="174">
        <v>5</v>
      </c>
      <c r="BF78" s="174">
        <v>5</v>
      </c>
      <c r="BI78" s="174">
        <v>5</v>
      </c>
      <c r="BJ78" s="174">
        <v>5</v>
      </c>
      <c r="BK78" s="174">
        <v>5</v>
      </c>
      <c r="BL78" s="174">
        <v>10</v>
      </c>
      <c r="BM78" s="174">
        <v>5</v>
      </c>
      <c r="BN78" s="174">
        <v>5</v>
      </c>
      <c r="BO78" s="174">
        <v>10</v>
      </c>
      <c r="BP78" s="174">
        <v>5</v>
      </c>
      <c r="BQ78" s="174">
        <v>10</v>
      </c>
      <c r="BR78" s="174">
        <v>5</v>
      </c>
      <c r="BS78" s="174">
        <v>15</v>
      </c>
      <c r="BT78" s="174">
        <v>5</v>
      </c>
      <c r="BU78" s="174">
        <v>5</v>
      </c>
      <c r="BV78" s="174">
        <v>5</v>
      </c>
      <c r="BW78" s="174">
        <v>5</v>
      </c>
      <c r="BX78" s="174">
        <v>10</v>
      </c>
      <c r="BY78" s="174">
        <v>5</v>
      </c>
      <c r="BZ78" s="174">
        <v>5</v>
      </c>
      <c r="CA78" s="174">
        <v>5</v>
      </c>
      <c r="CB78" s="174">
        <v>5</v>
      </c>
      <c r="CC78" s="174">
        <v>5</v>
      </c>
      <c r="CD78" s="174">
        <v>5</v>
      </c>
      <c r="CE78" s="174">
        <v>5</v>
      </c>
      <c r="CF78" s="174">
        <v>5</v>
      </c>
      <c r="CG78" s="174">
        <v>5</v>
      </c>
      <c r="CJ78" s="174">
        <v>10</v>
      </c>
      <c r="CL78" s="174">
        <v>5</v>
      </c>
      <c r="CQ78" s="174">
        <v>10</v>
      </c>
      <c r="CU78" s="174">
        <v>20</v>
      </c>
      <c r="CV78" s="174">
        <v>5</v>
      </c>
      <c r="CY78" s="174">
        <v>5</v>
      </c>
      <c r="CZ78" s="174">
        <v>5</v>
      </c>
      <c r="DB78" s="174">
        <v>5</v>
      </c>
      <c r="DC78" s="174">
        <v>5</v>
      </c>
      <c r="DD78" s="174">
        <v>5</v>
      </c>
      <c r="DH78" s="174">
        <v>8</v>
      </c>
      <c r="DI78" s="174" t="s">
        <v>1274</v>
      </c>
      <c r="DJ78" s="174">
        <v>-15</v>
      </c>
      <c r="DK78" s="174">
        <v>-50</v>
      </c>
      <c r="DL78" s="174">
        <v>15</v>
      </c>
      <c r="DM78" s="174">
        <v>15</v>
      </c>
      <c r="DN78" s="174">
        <v>1</v>
      </c>
      <c r="DQ78" s="174">
        <v>8</v>
      </c>
      <c r="DR78" s="174" t="s">
        <v>1274</v>
      </c>
      <c r="DS78" s="205">
        <v>-4</v>
      </c>
      <c r="DT78" s="174">
        <v>-34</v>
      </c>
      <c r="DU78" s="174">
        <v>4</v>
      </c>
      <c r="DV78" s="174">
        <v>4</v>
      </c>
      <c r="DW78" s="174">
        <v>1</v>
      </c>
      <c r="DY78" s="174">
        <v>91</v>
      </c>
      <c r="DZ78" s="174" t="s">
        <v>1275</v>
      </c>
      <c r="EC78" s="174">
        <v>8</v>
      </c>
      <c r="ED78" s="174" t="s">
        <v>1276</v>
      </c>
      <c r="EE78" s="203">
        <v>0.6382000000000001</v>
      </c>
      <c r="EF78" s="174">
        <v>-40</v>
      </c>
      <c r="EH78" s="174">
        <v>8.0009999999999994</v>
      </c>
      <c r="EI78" s="174">
        <v>-64</v>
      </c>
      <c r="EK78" s="174">
        <v>-25</v>
      </c>
      <c r="EL78" s="174" t="s">
        <v>1277</v>
      </c>
      <c r="EO78" s="234" t="s">
        <v>4228</v>
      </c>
      <c r="EP78" s="174" t="s">
        <v>4074</v>
      </c>
      <c r="EQ78" s="174" t="s">
        <v>1377</v>
      </c>
      <c r="ER78" s="174" t="s">
        <v>618</v>
      </c>
      <c r="ES78" s="174" t="s">
        <v>618</v>
      </c>
      <c r="ET78" s="174" t="s">
        <v>1178</v>
      </c>
      <c r="EU78" s="174" t="s">
        <v>681</v>
      </c>
      <c r="EV78" s="174" t="s">
        <v>1178</v>
      </c>
      <c r="EW78" s="174" t="s">
        <v>618</v>
      </c>
      <c r="EX78" s="174" t="s">
        <v>506</v>
      </c>
      <c r="EY78" s="174" t="s">
        <v>414</v>
      </c>
      <c r="EZ78" s="174" t="s">
        <v>456</v>
      </c>
      <c r="FA78" s="174" t="s">
        <v>666</v>
      </c>
      <c r="FB78" s="174" t="s">
        <v>609</v>
      </c>
      <c r="FC78" s="174" t="s">
        <v>609</v>
      </c>
      <c r="FD78" s="174" t="s">
        <v>415</v>
      </c>
      <c r="FE78" s="174" t="s">
        <v>1125</v>
      </c>
      <c r="FF78" s="174" t="s">
        <v>1125</v>
      </c>
      <c r="FG78" s="174" t="s">
        <v>1124</v>
      </c>
      <c r="FH78" s="174" t="s">
        <v>456</v>
      </c>
      <c r="FI78" s="174" t="s">
        <v>560</v>
      </c>
      <c r="FJ78" s="174" t="s">
        <v>506</v>
      </c>
      <c r="FK78" s="174" t="s">
        <v>415</v>
      </c>
      <c r="FL78" s="174" t="s">
        <v>1124</v>
      </c>
      <c r="FM78" s="174" t="s">
        <v>618</v>
      </c>
      <c r="FN78" s="174" t="s">
        <v>415</v>
      </c>
      <c r="FO78" s="174" t="s">
        <v>506</v>
      </c>
      <c r="FP78" s="174" t="s">
        <v>4391</v>
      </c>
      <c r="FQ78" s="174" t="s">
        <v>1217</v>
      </c>
      <c r="FR78" s="234" t="s">
        <v>4294</v>
      </c>
      <c r="FS78" s="174" t="s">
        <v>547</v>
      </c>
      <c r="FT78" s="174" t="s">
        <v>4292</v>
      </c>
      <c r="FU78" s="174" t="s">
        <v>506</v>
      </c>
      <c r="FV78" s="174" t="s">
        <v>1309</v>
      </c>
      <c r="FW78" s="174" t="s">
        <v>551</v>
      </c>
      <c r="FX78" s="174" t="s">
        <v>506</v>
      </c>
      <c r="FY78" s="174" t="s">
        <v>609</v>
      </c>
      <c r="FZ78" s="174" t="s">
        <v>681</v>
      </c>
      <c r="HA78" s="174">
        <v>9</v>
      </c>
      <c r="HB78" s="197">
        <v>75</v>
      </c>
      <c r="HC78" s="194">
        <v>58</v>
      </c>
      <c r="HD78" s="238">
        <v>83</v>
      </c>
      <c r="HE78" s="236">
        <v>25</v>
      </c>
      <c r="HF78" s="183">
        <v>140</v>
      </c>
      <c r="HG78" s="193">
        <f t="shared" si="116"/>
        <v>135</v>
      </c>
      <c r="HH78" s="192" t="e">
        <f t="shared" si="117"/>
        <v>#REF!</v>
      </c>
      <c r="HI78" s="198">
        <v>25</v>
      </c>
      <c r="HJ78" s="185">
        <v>127.5</v>
      </c>
      <c r="HK78" s="174">
        <v>76</v>
      </c>
      <c r="HL78" s="174">
        <f t="shared" si="83"/>
        <v>374</v>
      </c>
      <c r="HM78" s="174">
        <f t="shared" si="84"/>
        <v>364</v>
      </c>
      <c r="HN78" s="174">
        <f t="shared" si="85"/>
        <v>298</v>
      </c>
      <c r="HO78" s="174">
        <f t="shared" si="86"/>
        <v>242</v>
      </c>
      <c r="HP78" s="174">
        <f t="shared" si="87"/>
        <v>196</v>
      </c>
      <c r="HQ78" s="174">
        <f t="shared" si="88"/>
        <v>186</v>
      </c>
      <c r="HR78" s="174">
        <f t="shared" si="89"/>
        <v>186</v>
      </c>
      <c r="HS78" s="174">
        <f t="shared" si="90"/>
        <v>176</v>
      </c>
      <c r="HT78" s="174">
        <f t="shared" si="91"/>
        <v>166</v>
      </c>
      <c r="HU78" s="174">
        <f t="shared" si="92"/>
        <v>288</v>
      </c>
      <c r="HV78" s="174">
        <f t="shared" si="93"/>
        <v>186</v>
      </c>
      <c r="HW78" s="174">
        <f t="shared" si="94"/>
        <v>176</v>
      </c>
      <c r="HX78" s="174">
        <f t="shared" si="95"/>
        <v>222</v>
      </c>
      <c r="HY78" s="174">
        <f t="shared" si="96"/>
        <v>166</v>
      </c>
      <c r="HZ78" s="174">
        <f t="shared" si="97"/>
        <v>156</v>
      </c>
      <c r="IA78" s="174">
        <f t="shared" si="98"/>
        <v>146</v>
      </c>
      <c r="IB78" s="174">
        <f t="shared" si="99"/>
        <v>212</v>
      </c>
      <c r="IC78" s="174">
        <f t="shared" si="100"/>
        <v>192</v>
      </c>
      <c r="ID78" s="174">
        <f t="shared" si="101"/>
        <v>136</v>
      </c>
      <c r="IE78" s="174">
        <f t="shared" si="102"/>
        <v>182</v>
      </c>
      <c r="IF78" s="174">
        <f t="shared" si="103"/>
        <v>136</v>
      </c>
      <c r="IG78" s="174">
        <f t="shared" si="104"/>
        <v>116</v>
      </c>
      <c r="IH78" s="174">
        <f t="shared" si="105"/>
        <v>106</v>
      </c>
      <c r="II78" s="174">
        <f t="shared" si="106"/>
        <v>86</v>
      </c>
      <c r="IJ78" s="174">
        <v>78</v>
      </c>
      <c r="IR78" s="174">
        <v>3300000</v>
      </c>
      <c r="IS78" s="174">
        <v>76</v>
      </c>
    </row>
    <row r="79" spans="1:253" ht="13.35" customHeight="1" x14ac:dyDescent="0.2">
      <c r="A79" s="183">
        <f t="shared" si="114"/>
        <v>78</v>
      </c>
      <c r="B79" s="184">
        <f t="shared" si="118"/>
        <v>2</v>
      </c>
      <c r="C79" s="183">
        <f t="shared" si="115"/>
        <v>78</v>
      </c>
      <c r="D79" s="174">
        <v>22</v>
      </c>
      <c r="E79" s="189" t="s">
        <v>574</v>
      </c>
      <c r="X79" s="174">
        <v>10</v>
      </c>
      <c r="AC79" s="174">
        <v>5</v>
      </c>
      <c r="AL79" s="174">
        <v>10</v>
      </c>
      <c r="AO79" s="174">
        <v>10</v>
      </c>
      <c r="AS79" s="174">
        <v>10</v>
      </c>
      <c r="AT79" s="174">
        <v>15</v>
      </c>
      <c r="AW79" s="174">
        <v>5</v>
      </c>
      <c r="AX79" s="174">
        <v>10</v>
      </c>
      <c r="BA79" s="174">
        <v>10</v>
      </c>
      <c r="BC79" s="174">
        <v>5</v>
      </c>
      <c r="BE79" s="174">
        <v>5</v>
      </c>
      <c r="BF79" s="174">
        <v>5</v>
      </c>
      <c r="BI79" s="174">
        <v>5</v>
      </c>
      <c r="BJ79" s="174">
        <v>5</v>
      </c>
      <c r="BK79" s="174">
        <v>5</v>
      </c>
      <c r="BL79" s="174">
        <v>10</v>
      </c>
      <c r="BM79" s="174">
        <v>5</v>
      </c>
      <c r="BN79" s="174">
        <v>5</v>
      </c>
      <c r="BO79" s="174">
        <v>10</v>
      </c>
      <c r="BP79" s="174">
        <v>5</v>
      </c>
      <c r="BQ79" s="174">
        <v>10</v>
      </c>
      <c r="BR79" s="174">
        <v>5</v>
      </c>
      <c r="BT79" s="174">
        <v>5</v>
      </c>
      <c r="BU79" s="174">
        <v>5</v>
      </c>
      <c r="BV79" s="174">
        <v>5</v>
      </c>
      <c r="BW79" s="174">
        <v>5</v>
      </c>
      <c r="BX79" s="174">
        <v>10</v>
      </c>
      <c r="BY79" s="174">
        <v>5</v>
      </c>
      <c r="BZ79" s="174">
        <v>5</v>
      </c>
      <c r="CA79" s="174">
        <v>5</v>
      </c>
      <c r="CB79" s="174">
        <v>5</v>
      </c>
      <c r="CC79" s="174">
        <v>5</v>
      </c>
      <c r="CD79" s="174">
        <v>5</v>
      </c>
      <c r="CE79" s="174">
        <v>5</v>
      </c>
      <c r="CF79" s="174">
        <v>5</v>
      </c>
      <c r="CG79" s="174">
        <v>5</v>
      </c>
      <c r="CJ79" s="174">
        <v>10</v>
      </c>
      <c r="CL79" s="174">
        <v>5</v>
      </c>
      <c r="CQ79" s="174">
        <v>10</v>
      </c>
      <c r="CU79" s="174">
        <v>20</v>
      </c>
      <c r="CV79" s="174">
        <v>5</v>
      </c>
      <c r="DB79" s="174">
        <v>5</v>
      </c>
      <c r="DC79" s="174">
        <v>5</v>
      </c>
      <c r="DD79" s="174">
        <v>5</v>
      </c>
      <c r="DH79" s="174">
        <v>9</v>
      </c>
      <c r="DI79" s="174" t="s">
        <v>1279</v>
      </c>
      <c r="DJ79" s="174">
        <v>-5</v>
      </c>
      <c r="DK79" s="174">
        <v>-50</v>
      </c>
      <c r="DL79" s="174">
        <v>0</v>
      </c>
      <c r="DM79" s="174">
        <v>0</v>
      </c>
      <c r="DN79" s="174">
        <v>2</v>
      </c>
      <c r="DQ79" s="174">
        <v>9</v>
      </c>
      <c r="DR79" s="174" t="s">
        <v>1279</v>
      </c>
      <c r="DS79" s="205">
        <v>0</v>
      </c>
      <c r="DT79" s="174">
        <v>-34</v>
      </c>
      <c r="DU79" s="174">
        <v>0</v>
      </c>
      <c r="DV79" s="174">
        <v>0</v>
      </c>
      <c r="DW79" s="174">
        <v>2</v>
      </c>
      <c r="DY79" s="174">
        <v>93</v>
      </c>
      <c r="DZ79" s="174" t="s">
        <v>1275</v>
      </c>
      <c r="EC79" s="174">
        <v>25</v>
      </c>
      <c r="ED79" s="174" t="s">
        <v>4079</v>
      </c>
      <c r="EE79" s="203">
        <v>0.66360000000000008</v>
      </c>
      <c r="EF79" s="174">
        <v>-40</v>
      </c>
      <c r="EH79" s="174">
        <v>9.0009999999999994</v>
      </c>
      <c r="EI79" s="174">
        <v>-72</v>
      </c>
      <c r="EK79" s="174">
        <v>-10</v>
      </c>
      <c r="EL79" s="174" t="s">
        <v>316</v>
      </c>
      <c r="EO79" s="234" t="s">
        <v>4229</v>
      </c>
      <c r="EP79" s="174" t="s">
        <v>1377</v>
      </c>
      <c r="EQ79" s="174" t="s">
        <v>618</v>
      </c>
      <c r="ER79" s="174" t="s">
        <v>506</v>
      </c>
      <c r="ES79" s="174" t="s">
        <v>506</v>
      </c>
      <c r="ET79" s="174" t="s">
        <v>618</v>
      </c>
      <c r="EU79" s="174" t="s">
        <v>1124</v>
      </c>
      <c r="EV79" s="174" t="s">
        <v>1232</v>
      </c>
      <c r="EW79" s="174" t="s">
        <v>1217</v>
      </c>
      <c r="EX79" s="174" t="s">
        <v>415</v>
      </c>
      <c r="EY79" s="174" t="s">
        <v>661</v>
      </c>
      <c r="EZ79" s="174" t="s">
        <v>414</v>
      </c>
      <c r="FA79" s="174" t="s">
        <v>681</v>
      </c>
      <c r="FB79" s="174" t="s">
        <v>458</v>
      </c>
      <c r="FC79" s="174" t="s">
        <v>458</v>
      </c>
      <c r="FD79" s="174" t="s">
        <v>666</v>
      </c>
      <c r="FE79" s="174" t="s">
        <v>458</v>
      </c>
      <c r="FF79" s="174" t="s">
        <v>458</v>
      </c>
      <c r="FG79" s="174" t="s">
        <v>675</v>
      </c>
      <c r="FH79" s="174" t="s">
        <v>661</v>
      </c>
      <c r="FI79" s="174" t="s">
        <v>561</v>
      </c>
      <c r="FJ79" s="174" t="s">
        <v>547</v>
      </c>
      <c r="FK79" s="174" t="s">
        <v>1124</v>
      </c>
      <c r="FL79" s="174" t="s">
        <v>675</v>
      </c>
      <c r="FM79" s="174" t="s">
        <v>506</v>
      </c>
      <c r="FN79" s="174" t="s">
        <v>675</v>
      </c>
      <c r="FO79" s="174" t="s">
        <v>458</v>
      </c>
      <c r="FP79" s="174" t="s">
        <v>4392</v>
      </c>
      <c r="FQ79" s="174" t="s">
        <v>506</v>
      </c>
      <c r="FR79" s="174" t="s">
        <v>456</v>
      </c>
      <c r="FS79" s="174" t="s">
        <v>458</v>
      </c>
      <c r="FT79" s="174" t="s">
        <v>1309</v>
      </c>
      <c r="FU79" s="174" t="s">
        <v>547</v>
      </c>
      <c r="FV79" s="174" t="s">
        <v>681</v>
      </c>
      <c r="FW79" s="174" t="s">
        <v>1301</v>
      </c>
      <c r="FX79" s="174" t="s">
        <v>547</v>
      </c>
      <c r="FY79" s="174" t="s">
        <v>458</v>
      </c>
      <c r="FZ79" s="174" t="s">
        <v>682</v>
      </c>
      <c r="HA79" s="174">
        <v>10</v>
      </c>
      <c r="HB79" s="197">
        <v>76</v>
      </c>
      <c r="HC79" s="194">
        <v>58</v>
      </c>
      <c r="HD79" s="238">
        <v>83</v>
      </c>
      <c r="HE79" s="236">
        <v>25</v>
      </c>
      <c r="HF79" s="183">
        <v>141</v>
      </c>
      <c r="HG79" s="193">
        <f t="shared" si="116"/>
        <v>136</v>
      </c>
      <c r="HH79" s="192" t="e">
        <f t="shared" si="117"/>
        <v>#REF!</v>
      </c>
      <c r="HI79" s="198">
        <v>25</v>
      </c>
      <c r="HJ79" s="185">
        <v>128</v>
      </c>
      <c r="HK79" s="174">
        <v>77</v>
      </c>
      <c r="HL79" s="174">
        <f t="shared" si="83"/>
        <v>378</v>
      </c>
      <c r="HM79" s="174">
        <f t="shared" si="84"/>
        <v>368</v>
      </c>
      <c r="HN79" s="174">
        <f t="shared" si="85"/>
        <v>301</v>
      </c>
      <c r="HO79" s="174">
        <f t="shared" si="86"/>
        <v>244</v>
      </c>
      <c r="HP79" s="174">
        <f t="shared" si="87"/>
        <v>197</v>
      </c>
      <c r="HQ79" s="174">
        <f t="shared" si="88"/>
        <v>187</v>
      </c>
      <c r="HR79" s="174">
        <f t="shared" si="89"/>
        <v>187</v>
      </c>
      <c r="HS79" s="174">
        <f t="shared" si="90"/>
        <v>177</v>
      </c>
      <c r="HT79" s="174">
        <f t="shared" si="91"/>
        <v>167</v>
      </c>
      <c r="HU79" s="174">
        <f t="shared" si="92"/>
        <v>291</v>
      </c>
      <c r="HV79" s="174">
        <f t="shared" si="93"/>
        <v>187</v>
      </c>
      <c r="HW79" s="174">
        <f t="shared" si="94"/>
        <v>177</v>
      </c>
      <c r="HX79" s="174">
        <f t="shared" si="95"/>
        <v>224</v>
      </c>
      <c r="HY79" s="174">
        <f t="shared" si="96"/>
        <v>167</v>
      </c>
      <c r="HZ79" s="174">
        <f t="shared" si="97"/>
        <v>157</v>
      </c>
      <c r="IA79" s="174">
        <f t="shared" si="98"/>
        <v>147</v>
      </c>
      <c r="IB79" s="174">
        <f t="shared" si="99"/>
        <v>214</v>
      </c>
      <c r="IC79" s="174">
        <f t="shared" si="100"/>
        <v>194</v>
      </c>
      <c r="ID79" s="174">
        <f t="shared" si="101"/>
        <v>137</v>
      </c>
      <c r="IE79" s="174">
        <f t="shared" si="102"/>
        <v>184</v>
      </c>
      <c r="IF79" s="174">
        <f t="shared" si="103"/>
        <v>137</v>
      </c>
      <c r="IG79" s="174">
        <f t="shared" si="104"/>
        <v>117</v>
      </c>
      <c r="IH79" s="174">
        <f t="shared" si="105"/>
        <v>107</v>
      </c>
      <c r="II79" s="174">
        <f t="shared" si="106"/>
        <v>87</v>
      </c>
      <c r="IJ79" s="174">
        <v>79</v>
      </c>
      <c r="IR79" s="174">
        <v>3350000</v>
      </c>
      <c r="IS79" s="174">
        <v>77</v>
      </c>
    </row>
    <row r="80" spans="1:253" ht="13.35" customHeight="1" x14ac:dyDescent="0.2">
      <c r="A80" s="183">
        <f t="shared" si="114"/>
        <v>79</v>
      </c>
      <c r="B80" s="184">
        <f t="shared" si="118"/>
        <v>2</v>
      </c>
      <c r="C80" s="183">
        <f t="shared" si="115"/>
        <v>79</v>
      </c>
      <c r="D80" s="174">
        <v>23</v>
      </c>
      <c r="E80" s="189" t="s">
        <v>579</v>
      </c>
      <c r="AL80" s="174">
        <v>10</v>
      </c>
      <c r="AS80" s="174">
        <v>10</v>
      </c>
      <c r="AT80" s="174">
        <v>15</v>
      </c>
      <c r="AW80" s="174">
        <v>5</v>
      </c>
      <c r="AX80" s="174">
        <v>10</v>
      </c>
      <c r="BA80" s="174">
        <v>10</v>
      </c>
      <c r="BC80" s="174">
        <v>5</v>
      </c>
      <c r="BE80" s="174">
        <v>5</v>
      </c>
      <c r="BI80" s="174">
        <v>5</v>
      </c>
      <c r="BJ80" s="174">
        <v>5</v>
      </c>
      <c r="BK80" s="174">
        <v>5</v>
      </c>
      <c r="BL80" s="174">
        <v>10</v>
      </c>
      <c r="BM80" s="174">
        <v>5</v>
      </c>
      <c r="BN80" s="174">
        <v>5</v>
      </c>
      <c r="BO80" s="174">
        <v>10</v>
      </c>
      <c r="BP80" s="174">
        <v>5</v>
      </c>
      <c r="BQ80" s="174">
        <v>10</v>
      </c>
      <c r="BR80" s="174">
        <v>5</v>
      </c>
      <c r="BT80" s="174">
        <v>5</v>
      </c>
      <c r="BU80" s="174">
        <v>5</v>
      </c>
      <c r="BV80" s="174">
        <v>5</v>
      </c>
      <c r="BW80" s="174">
        <v>5</v>
      </c>
      <c r="BX80" s="174">
        <v>10</v>
      </c>
      <c r="BY80" s="174">
        <v>5</v>
      </c>
      <c r="BZ80" s="174">
        <v>5</v>
      </c>
      <c r="CA80" s="174">
        <v>5</v>
      </c>
      <c r="CB80" s="174">
        <v>5</v>
      </c>
      <c r="CC80" s="174">
        <v>5</v>
      </c>
      <c r="CD80" s="174">
        <v>5</v>
      </c>
      <c r="CE80" s="174">
        <v>5</v>
      </c>
      <c r="CF80" s="174">
        <v>5</v>
      </c>
      <c r="CG80" s="174">
        <v>5</v>
      </c>
      <c r="CJ80" s="174">
        <v>10</v>
      </c>
      <c r="CL80" s="174">
        <v>5</v>
      </c>
      <c r="CQ80" s="174">
        <v>10</v>
      </c>
      <c r="CU80" s="174">
        <v>20</v>
      </c>
      <c r="CV80" s="174">
        <v>5</v>
      </c>
      <c r="DB80" s="174">
        <v>5</v>
      </c>
      <c r="DH80" s="174">
        <v>10</v>
      </c>
      <c r="DI80" s="174" t="s">
        <v>1282</v>
      </c>
      <c r="DJ80" s="174">
        <v>-10</v>
      </c>
      <c r="DK80" s="174">
        <v>-70</v>
      </c>
      <c r="DL80" s="174">
        <v>10</v>
      </c>
      <c r="DM80" s="174">
        <v>5</v>
      </c>
      <c r="DN80" s="174">
        <v>2</v>
      </c>
      <c r="DQ80" s="174">
        <v>10</v>
      </c>
      <c r="DR80" s="174" t="s">
        <v>1282</v>
      </c>
      <c r="DS80" s="205">
        <v>0</v>
      </c>
      <c r="DT80" s="174">
        <v>-51</v>
      </c>
      <c r="DU80" s="174">
        <v>0</v>
      </c>
      <c r="DV80" s="174">
        <v>0</v>
      </c>
      <c r="DW80" s="174">
        <v>2</v>
      </c>
      <c r="DY80" s="174">
        <v>95</v>
      </c>
      <c r="DZ80" s="174" t="s">
        <v>1280</v>
      </c>
      <c r="EC80" s="174">
        <v>30</v>
      </c>
      <c r="ED80" s="174" t="s">
        <v>4083</v>
      </c>
      <c r="EE80" s="203">
        <v>0.68900000000000017</v>
      </c>
      <c r="EF80" s="174">
        <v>-40</v>
      </c>
      <c r="EH80" s="174">
        <v>10.000999999999999</v>
      </c>
      <c r="EI80" s="174">
        <v>-80</v>
      </c>
      <c r="EO80" s="234" t="s">
        <v>4234</v>
      </c>
      <c r="EP80" s="174" t="s">
        <v>618</v>
      </c>
      <c r="EQ80" s="174" t="s">
        <v>506</v>
      </c>
      <c r="ER80" s="174" t="s">
        <v>702</v>
      </c>
      <c r="ES80" s="174" t="s">
        <v>702</v>
      </c>
      <c r="ET80" s="174" t="s">
        <v>506</v>
      </c>
      <c r="EU80" s="174" t="s">
        <v>650</v>
      </c>
      <c r="EV80" s="174" t="s">
        <v>1217</v>
      </c>
      <c r="EW80" s="174" t="s">
        <v>429</v>
      </c>
      <c r="EX80" s="174" t="s">
        <v>543</v>
      </c>
      <c r="EY80" s="174" t="s">
        <v>1177</v>
      </c>
      <c r="EZ80" s="174" t="s">
        <v>661</v>
      </c>
      <c r="FA80" s="174" t="s">
        <v>1317</v>
      </c>
      <c r="FB80" s="174" t="s">
        <v>459</v>
      </c>
      <c r="FC80" s="174" t="s">
        <v>459</v>
      </c>
      <c r="FD80" s="174" t="s">
        <v>530</v>
      </c>
      <c r="FE80" s="174" t="s">
        <v>527</v>
      </c>
      <c r="FF80" s="174" t="s">
        <v>527</v>
      </c>
      <c r="FG80" s="174" t="s">
        <v>1128</v>
      </c>
      <c r="FH80" s="174" t="s">
        <v>1177</v>
      </c>
      <c r="FI80" s="174" t="s">
        <v>1124</v>
      </c>
      <c r="FJ80" s="174" t="s">
        <v>458</v>
      </c>
      <c r="FK80" s="174" t="s">
        <v>675</v>
      </c>
      <c r="FL80" s="174" t="s">
        <v>1128</v>
      </c>
      <c r="FM80" s="174" t="s">
        <v>1289</v>
      </c>
      <c r="FN80" s="174" t="s">
        <v>677</v>
      </c>
      <c r="FO80" s="174" t="s">
        <v>1284</v>
      </c>
      <c r="FP80" s="174" t="s">
        <v>609</v>
      </c>
      <c r="FQ80" s="174" t="s">
        <v>547</v>
      </c>
      <c r="FR80" s="174" t="s">
        <v>661</v>
      </c>
      <c r="FS80" s="174" t="s">
        <v>459</v>
      </c>
      <c r="FT80" s="174" t="s">
        <v>681</v>
      </c>
      <c r="FU80" s="174" t="s">
        <v>458</v>
      </c>
      <c r="FV80" s="174" t="s">
        <v>510</v>
      </c>
      <c r="FW80" s="174" t="s">
        <v>458</v>
      </c>
      <c r="FX80" s="174" t="s">
        <v>458</v>
      </c>
      <c r="FY80" s="174" t="s">
        <v>459</v>
      </c>
      <c r="FZ80" s="174" t="s">
        <v>675</v>
      </c>
      <c r="HA80" s="174">
        <v>11</v>
      </c>
      <c r="HB80" s="197">
        <v>77</v>
      </c>
      <c r="HC80" s="194">
        <v>59</v>
      </c>
      <c r="HD80" s="238">
        <v>84</v>
      </c>
      <c r="HE80" s="236">
        <v>25</v>
      </c>
      <c r="HF80" s="183">
        <v>142</v>
      </c>
      <c r="HG80" s="193">
        <f t="shared" si="116"/>
        <v>137</v>
      </c>
      <c r="HH80" s="192" t="e">
        <f t="shared" si="117"/>
        <v>#REF!</v>
      </c>
      <c r="HI80" s="198">
        <v>25</v>
      </c>
      <c r="HJ80" s="185">
        <v>128.5</v>
      </c>
      <c r="HK80" s="174">
        <v>78</v>
      </c>
      <c r="HL80" s="174">
        <f t="shared" si="83"/>
        <v>382</v>
      </c>
      <c r="HM80" s="174">
        <f t="shared" si="84"/>
        <v>372</v>
      </c>
      <c r="HN80" s="174">
        <f t="shared" si="85"/>
        <v>304</v>
      </c>
      <c r="HO80" s="174">
        <f t="shared" si="86"/>
        <v>246</v>
      </c>
      <c r="HP80" s="174">
        <f t="shared" si="87"/>
        <v>198</v>
      </c>
      <c r="HQ80" s="174">
        <f t="shared" si="88"/>
        <v>188</v>
      </c>
      <c r="HR80" s="174">
        <f t="shared" si="89"/>
        <v>188</v>
      </c>
      <c r="HS80" s="174">
        <f t="shared" si="90"/>
        <v>178</v>
      </c>
      <c r="HT80" s="174">
        <f t="shared" si="91"/>
        <v>168</v>
      </c>
      <c r="HU80" s="174">
        <f t="shared" si="92"/>
        <v>294</v>
      </c>
      <c r="HV80" s="174">
        <f t="shared" si="93"/>
        <v>188</v>
      </c>
      <c r="HW80" s="174">
        <f t="shared" si="94"/>
        <v>178</v>
      </c>
      <c r="HX80" s="174">
        <f t="shared" si="95"/>
        <v>226</v>
      </c>
      <c r="HY80" s="174">
        <f t="shared" si="96"/>
        <v>168</v>
      </c>
      <c r="HZ80" s="174">
        <f t="shared" si="97"/>
        <v>158</v>
      </c>
      <c r="IA80" s="174">
        <f t="shared" si="98"/>
        <v>148</v>
      </c>
      <c r="IB80" s="174">
        <f t="shared" si="99"/>
        <v>216</v>
      </c>
      <c r="IC80" s="174">
        <f t="shared" si="100"/>
        <v>196</v>
      </c>
      <c r="ID80" s="174">
        <f t="shared" si="101"/>
        <v>138</v>
      </c>
      <c r="IE80" s="174">
        <f t="shared" si="102"/>
        <v>186</v>
      </c>
      <c r="IF80" s="174">
        <f t="shared" si="103"/>
        <v>138</v>
      </c>
      <c r="IG80" s="174">
        <f t="shared" si="104"/>
        <v>118</v>
      </c>
      <c r="IH80" s="174">
        <f t="shared" si="105"/>
        <v>108</v>
      </c>
      <c r="II80" s="174">
        <f t="shared" si="106"/>
        <v>88</v>
      </c>
      <c r="IJ80" s="174">
        <v>80</v>
      </c>
      <c r="IR80" s="174">
        <v>3400000</v>
      </c>
      <c r="IS80" s="174">
        <v>78</v>
      </c>
    </row>
    <row r="81" spans="1:253" ht="13.35" customHeight="1" x14ac:dyDescent="0.2">
      <c r="A81" s="183">
        <f t="shared" si="114"/>
        <v>80</v>
      </c>
      <c r="B81" s="184">
        <f t="shared" si="118"/>
        <v>3</v>
      </c>
      <c r="C81" s="183">
        <f t="shared" si="115"/>
        <v>80</v>
      </c>
      <c r="D81" s="174">
        <v>24</v>
      </c>
      <c r="E81" s="189" t="s">
        <v>586</v>
      </c>
      <c r="I81" s="174">
        <v>15</v>
      </c>
      <c r="V81" s="174">
        <v>10</v>
      </c>
      <c r="CV81" s="174">
        <v>5</v>
      </c>
      <c r="DH81" s="174">
        <v>11</v>
      </c>
      <c r="DI81" s="174" t="s">
        <v>1286</v>
      </c>
      <c r="DJ81" s="174">
        <v>-15</v>
      </c>
      <c r="DK81" s="174">
        <v>-90</v>
      </c>
      <c r="DL81" s="174">
        <v>20</v>
      </c>
      <c r="DM81" s="174">
        <v>15</v>
      </c>
      <c r="DN81" s="174">
        <v>2</v>
      </c>
      <c r="DQ81" s="174">
        <v>11</v>
      </c>
      <c r="DR81" s="174" t="s">
        <v>1286</v>
      </c>
      <c r="DS81" s="205">
        <v>-4</v>
      </c>
      <c r="DT81" s="174">
        <v>-68</v>
      </c>
      <c r="DU81" s="174">
        <v>8</v>
      </c>
      <c r="DV81" s="174">
        <v>4</v>
      </c>
      <c r="DW81" s="174">
        <v>2</v>
      </c>
      <c r="DY81" s="174">
        <v>97</v>
      </c>
      <c r="DZ81" s="174" t="s">
        <v>1280</v>
      </c>
      <c r="EC81" s="174">
        <v>40</v>
      </c>
      <c r="ED81" s="174" t="s">
        <v>4082</v>
      </c>
      <c r="EE81" s="203">
        <v>0.71440000000000026</v>
      </c>
      <c r="EF81" s="174">
        <v>-35</v>
      </c>
      <c r="EH81" s="174">
        <v>11.000999999999999</v>
      </c>
      <c r="EI81" s="174">
        <v>-88</v>
      </c>
      <c r="EK81" s="174" t="s">
        <v>1288</v>
      </c>
      <c r="EO81" s="234" t="s">
        <v>4237</v>
      </c>
      <c r="EP81" s="174" t="s">
        <v>506</v>
      </c>
      <c r="EQ81" s="174" t="s">
        <v>609</v>
      </c>
      <c r="ER81" s="174" t="s">
        <v>609</v>
      </c>
      <c r="ES81" s="174" t="s">
        <v>609</v>
      </c>
      <c r="ET81" s="174" t="s">
        <v>702</v>
      </c>
      <c r="EU81" s="174" t="s">
        <v>1308</v>
      </c>
      <c r="EV81" s="174" t="s">
        <v>1284</v>
      </c>
      <c r="EW81" s="174" t="s">
        <v>675</v>
      </c>
      <c r="EX81" s="174" t="s">
        <v>1268</v>
      </c>
      <c r="EY81" s="174" t="s">
        <v>415</v>
      </c>
      <c r="EZ81" s="174" t="s">
        <v>1177</v>
      </c>
      <c r="FA81" s="174" t="s">
        <v>1137</v>
      </c>
      <c r="FB81" s="174" t="s">
        <v>666</v>
      </c>
      <c r="FC81" s="174" t="s">
        <v>666</v>
      </c>
      <c r="FD81" s="174" t="s">
        <v>561</v>
      </c>
      <c r="FE81" s="174" t="s">
        <v>415</v>
      </c>
      <c r="FF81" s="174" t="s">
        <v>415</v>
      </c>
      <c r="FG81" s="174" t="s">
        <v>487</v>
      </c>
      <c r="FH81" s="174" t="s">
        <v>1292</v>
      </c>
      <c r="FI81" s="174" t="s">
        <v>1137</v>
      </c>
      <c r="FJ81" s="174" t="s">
        <v>459</v>
      </c>
      <c r="FK81" s="174" t="s">
        <v>1128</v>
      </c>
      <c r="FL81" s="174" t="s">
        <v>487</v>
      </c>
      <c r="FM81" s="174" t="s">
        <v>1294</v>
      </c>
      <c r="FN81" s="234" t="s">
        <v>4281</v>
      </c>
      <c r="FO81" s="174" t="s">
        <v>1291</v>
      </c>
      <c r="FQ81" s="174" t="s">
        <v>458</v>
      </c>
      <c r="FR81" s="174" t="s">
        <v>1177</v>
      </c>
      <c r="FS81" s="174" t="s">
        <v>527</v>
      </c>
      <c r="FT81" s="174" t="s">
        <v>1124</v>
      </c>
      <c r="FU81" s="174" t="s">
        <v>459</v>
      </c>
      <c r="FV81" s="234" t="s">
        <v>4299</v>
      </c>
      <c r="FW81" s="174" t="s">
        <v>681</v>
      </c>
      <c r="FX81" s="174" t="s">
        <v>459</v>
      </c>
      <c r="FY81" s="174" t="s">
        <v>666</v>
      </c>
      <c r="HA81" s="174">
        <v>12</v>
      </c>
      <c r="HB81" s="197">
        <v>78</v>
      </c>
      <c r="HC81" s="194">
        <v>59</v>
      </c>
      <c r="HD81" s="238">
        <v>84</v>
      </c>
      <c r="HE81" s="236">
        <v>25</v>
      </c>
      <c r="HF81" s="183">
        <v>143</v>
      </c>
      <c r="HG81" s="193">
        <f t="shared" si="116"/>
        <v>138</v>
      </c>
      <c r="HH81" s="192" t="e">
        <f t="shared" si="117"/>
        <v>#REF!</v>
      </c>
      <c r="HI81" s="198">
        <v>25</v>
      </c>
      <c r="HJ81" s="185">
        <v>129</v>
      </c>
      <c r="HK81" s="174">
        <v>79</v>
      </c>
      <c r="HL81" s="174">
        <f t="shared" si="83"/>
        <v>386</v>
      </c>
      <c r="HM81" s="174">
        <f t="shared" si="84"/>
        <v>376</v>
      </c>
      <c r="HN81" s="174">
        <f t="shared" si="85"/>
        <v>307</v>
      </c>
      <c r="HO81" s="174">
        <f t="shared" si="86"/>
        <v>248</v>
      </c>
      <c r="HP81" s="174">
        <f t="shared" si="87"/>
        <v>199</v>
      </c>
      <c r="HQ81" s="174">
        <f t="shared" si="88"/>
        <v>189</v>
      </c>
      <c r="HR81" s="174">
        <f t="shared" si="89"/>
        <v>189</v>
      </c>
      <c r="HS81" s="174">
        <f t="shared" si="90"/>
        <v>179</v>
      </c>
      <c r="HT81" s="174">
        <f t="shared" si="91"/>
        <v>169</v>
      </c>
      <c r="HU81" s="174">
        <f t="shared" si="92"/>
        <v>297</v>
      </c>
      <c r="HV81" s="174">
        <f t="shared" si="93"/>
        <v>189</v>
      </c>
      <c r="HW81" s="174">
        <f t="shared" si="94"/>
        <v>179</v>
      </c>
      <c r="HX81" s="174">
        <f t="shared" si="95"/>
        <v>228</v>
      </c>
      <c r="HY81" s="174">
        <f t="shared" si="96"/>
        <v>169</v>
      </c>
      <c r="HZ81" s="174">
        <f t="shared" si="97"/>
        <v>159</v>
      </c>
      <c r="IA81" s="174">
        <f t="shared" si="98"/>
        <v>149</v>
      </c>
      <c r="IB81" s="174">
        <f t="shared" si="99"/>
        <v>218</v>
      </c>
      <c r="IC81" s="174">
        <f t="shared" si="100"/>
        <v>198</v>
      </c>
      <c r="ID81" s="174">
        <f t="shared" si="101"/>
        <v>139</v>
      </c>
      <c r="IE81" s="174">
        <f t="shared" si="102"/>
        <v>188</v>
      </c>
      <c r="IF81" s="174">
        <f t="shared" si="103"/>
        <v>139</v>
      </c>
      <c r="IG81" s="174">
        <f t="shared" si="104"/>
        <v>119</v>
      </c>
      <c r="IH81" s="174">
        <f t="shared" si="105"/>
        <v>109</v>
      </c>
      <c r="II81" s="174">
        <f t="shared" si="106"/>
        <v>89</v>
      </c>
      <c r="IJ81" s="174">
        <v>81</v>
      </c>
      <c r="IR81" s="174">
        <v>3450000</v>
      </c>
      <c r="IS81" s="174">
        <v>79</v>
      </c>
    </row>
    <row r="82" spans="1:253" ht="13.35" customHeight="1" x14ac:dyDescent="0.2">
      <c r="A82" s="183">
        <f t="shared" si="114"/>
        <v>81</v>
      </c>
      <c r="B82" s="184">
        <f t="shared" si="118"/>
        <v>3</v>
      </c>
      <c r="C82" s="183">
        <f t="shared" si="115"/>
        <v>81</v>
      </c>
      <c r="D82" s="174">
        <v>25</v>
      </c>
      <c r="E82" s="189" t="s">
        <v>593</v>
      </c>
      <c r="I82" s="174">
        <v>15</v>
      </c>
      <c r="V82" s="174">
        <v>10</v>
      </c>
      <c r="CV82" s="174">
        <v>5</v>
      </c>
      <c r="DH82" s="174">
        <v>12</v>
      </c>
      <c r="DI82" s="174" t="s">
        <v>1293</v>
      </c>
      <c r="DJ82" s="174">
        <v>-15</v>
      </c>
      <c r="DK82" s="174">
        <v>-110</v>
      </c>
      <c r="DL82" s="174">
        <v>30</v>
      </c>
      <c r="DM82" s="174">
        <v>15</v>
      </c>
      <c r="DN82" s="174">
        <v>2</v>
      </c>
      <c r="DQ82" s="174">
        <v>12</v>
      </c>
      <c r="DR82" s="174" t="s">
        <v>1293</v>
      </c>
      <c r="DS82" s="205">
        <v>-4</v>
      </c>
      <c r="DT82" s="174">
        <v>-85</v>
      </c>
      <c r="DU82" s="174">
        <v>17</v>
      </c>
      <c r="DV82" s="174">
        <v>4</v>
      </c>
      <c r="DW82" s="174">
        <v>2</v>
      </c>
      <c r="DY82" s="174">
        <v>99</v>
      </c>
      <c r="DZ82" s="174" t="s">
        <v>1283</v>
      </c>
      <c r="EC82" s="174">
        <v>50</v>
      </c>
      <c r="ED82" s="174" t="s">
        <v>4081</v>
      </c>
      <c r="EE82" s="203">
        <v>0.73980000000000024</v>
      </c>
      <c r="EF82" s="174">
        <v>-35</v>
      </c>
      <c r="EH82" s="174">
        <v>12.000999999999999</v>
      </c>
      <c r="EI82" s="174">
        <v>-96</v>
      </c>
      <c r="EK82" s="204">
        <f>(50+VLOOKUP(Stats!$B$3,Info!$EE$70:$EF$158,2)+Stats!$I$19*3)*0.3</f>
        <v>17.399999999999999</v>
      </c>
      <c r="EO82" s="234" t="s">
        <v>4230</v>
      </c>
      <c r="EP82" s="174" t="s">
        <v>609</v>
      </c>
      <c r="EQ82" s="174" t="s">
        <v>458</v>
      </c>
      <c r="ER82" s="174" t="s">
        <v>458</v>
      </c>
      <c r="ES82" s="174" t="s">
        <v>458</v>
      </c>
      <c r="ET82" s="174" t="s">
        <v>609</v>
      </c>
      <c r="EU82" s="174" t="s">
        <v>487</v>
      </c>
      <c r="EV82" s="174" t="s">
        <v>548</v>
      </c>
      <c r="EW82" s="174" t="s">
        <v>173</v>
      </c>
      <c r="EX82" s="174" t="s">
        <v>1295</v>
      </c>
      <c r="EY82" s="174" t="s">
        <v>420</v>
      </c>
      <c r="EZ82" s="174" t="s">
        <v>618</v>
      </c>
      <c r="FA82" s="174" t="s">
        <v>609</v>
      </c>
      <c r="FB82" s="174" t="s">
        <v>681</v>
      </c>
      <c r="FC82" s="174" t="s">
        <v>681</v>
      </c>
      <c r="FD82" s="174" t="s">
        <v>675</v>
      </c>
      <c r="FE82" s="174" t="s">
        <v>666</v>
      </c>
      <c r="FF82" s="174" t="s">
        <v>666</v>
      </c>
      <c r="FG82" s="174" t="s">
        <v>536</v>
      </c>
      <c r="FH82" s="174" t="s">
        <v>506</v>
      </c>
      <c r="FI82" s="174" t="s">
        <v>1127</v>
      </c>
      <c r="FJ82" s="174" t="s">
        <v>527</v>
      </c>
      <c r="FK82" s="174" t="s">
        <v>487</v>
      </c>
      <c r="FL82" s="174" t="s">
        <v>536</v>
      </c>
      <c r="FM82" s="174" t="s">
        <v>458</v>
      </c>
      <c r="FN82" s="234" t="s">
        <v>4227</v>
      </c>
      <c r="FO82" s="174" t="s">
        <v>1268</v>
      </c>
      <c r="FQ82" s="174" t="s">
        <v>459</v>
      </c>
      <c r="FR82" s="174" t="s">
        <v>4292</v>
      </c>
      <c r="FS82" s="174" t="s">
        <v>415</v>
      </c>
      <c r="FT82" s="174" t="s">
        <v>1127</v>
      </c>
      <c r="FU82" s="174" t="s">
        <v>527</v>
      </c>
      <c r="FV82" s="234" t="s">
        <v>4298</v>
      </c>
      <c r="FW82" s="174" t="s">
        <v>561</v>
      </c>
      <c r="FX82" s="174" t="s">
        <v>527</v>
      </c>
      <c r="FY82" s="174" t="s">
        <v>681</v>
      </c>
      <c r="FZ82" s="174" t="s">
        <v>661</v>
      </c>
      <c r="HA82" s="174">
        <v>13</v>
      </c>
      <c r="HB82" s="197">
        <v>79</v>
      </c>
      <c r="HC82" s="194">
        <v>60</v>
      </c>
      <c r="HD82" s="238">
        <v>85</v>
      </c>
      <c r="HE82" s="236">
        <v>25</v>
      </c>
      <c r="HF82" s="183">
        <v>144</v>
      </c>
      <c r="HG82" s="193">
        <f t="shared" si="116"/>
        <v>139</v>
      </c>
      <c r="HH82" s="192" t="e">
        <f t="shared" si="117"/>
        <v>#REF!</v>
      </c>
      <c r="HI82" s="198">
        <v>25</v>
      </c>
      <c r="HJ82" s="185">
        <v>129.5</v>
      </c>
      <c r="HK82" s="182">
        <v>80</v>
      </c>
      <c r="HL82" s="174">
        <f t="shared" si="83"/>
        <v>390</v>
      </c>
      <c r="HM82" s="174">
        <f t="shared" si="84"/>
        <v>380</v>
      </c>
      <c r="HN82" s="174">
        <f t="shared" si="85"/>
        <v>310</v>
      </c>
      <c r="HO82" s="174">
        <f t="shared" si="86"/>
        <v>250</v>
      </c>
      <c r="HP82" s="174">
        <f t="shared" si="87"/>
        <v>200</v>
      </c>
      <c r="HQ82" s="174">
        <f t="shared" si="88"/>
        <v>190</v>
      </c>
      <c r="HR82" s="174">
        <f t="shared" si="89"/>
        <v>190</v>
      </c>
      <c r="HS82" s="174">
        <f t="shared" si="90"/>
        <v>180</v>
      </c>
      <c r="HT82" s="174">
        <f t="shared" si="91"/>
        <v>170</v>
      </c>
      <c r="HU82" s="174">
        <f t="shared" si="92"/>
        <v>300</v>
      </c>
      <c r="HV82" s="174">
        <f t="shared" si="93"/>
        <v>190</v>
      </c>
      <c r="HW82" s="174">
        <f t="shared" si="94"/>
        <v>180</v>
      </c>
      <c r="HX82" s="174">
        <f t="shared" si="95"/>
        <v>230</v>
      </c>
      <c r="HY82" s="174">
        <f t="shared" si="96"/>
        <v>170</v>
      </c>
      <c r="HZ82" s="174">
        <f t="shared" si="97"/>
        <v>160</v>
      </c>
      <c r="IA82" s="174">
        <f t="shared" si="98"/>
        <v>150</v>
      </c>
      <c r="IB82" s="174">
        <f t="shared" si="99"/>
        <v>220</v>
      </c>
      <c r="IC82" s="174">
        <f t="shared" si="100"/>
        <v>200</v>
      </c>
      <c r="ID82" s="174">
        <f t="shared" si="101"/>
        <v>140</v>
      </c>
      <c r="IE82" s="174">
        <f t="shared" si="102"/>
        <v>190</v>
      </c>
      <c r="IF82" s="174">
        <f t="shared" si="103"/>
        <v>140</v>
      </c>
      <c r="IG82" s="174">
        <f t="shared" si="104"/>
        <v>120</v>
      </c>
      <c r="IH82" s="174">
        <f t="shared" si="105"/>
        <v>110</v>
      </c>
      <c r="II82" s="174">
        <f t="shared" si="106"/>
        <v>90</v>
      </c>
      <c r="IJ82" s="182">
        <v>82</v>
      </c>
      <c r="IR82" s="174">
        <v>3500000</v>
      </c>
      <c r="IS82" s="174">
        <v>80</v>
      </c>
    </row>
    <row r="83" spans="1:253" ht="13.35" customHeight="1" x14ac:dyDescent="0.2">
      <c r="A83" s="183">
        <f t="shared" si="114"/>
        <v>82</v>
      </c>
      <c r="B83" s="184">
        <f t="shared" si="118"/>
        <v>3</v>
      </c>
      <c r="C83" s="183">
        <f t="shared" si="115"/>
        <v>82</v>
      </c>
      <c r="D83" s="174">
        <v>26</v>
      </c>
      <c r="E83" s="189" t="s">
        <v>600</v>
      </c>
      <c r="J83" s="174">
        <v>5</v>
      </c>
      <c r="M83" s="174">
        <v>5</v>
      </c>
      <c r="N83" s="174">
        <v>20</v>
      </c>
      <c r="T83" s="174">
        <v>20</v>
      </c>
      <c r="AS83" s="174">
        <v>5</v>
      </c>
      <c r="AU83" s="174">
        <v>15</v>
      </c>
      <c r="BH83" s="174">
        <v>5</v>
      </c>
      <c r="BM83" s="174">
        <v>10</v>
      </c>
      <c r="BZ83" s="174">
        <v>15</v>
      </c>
      <c r="CG83" s="174">
        <v>15</v>
      </c>
      <c r="CN83" s="174">
        <v>5</v>
      </c>
      <c r="CS83" s="174">
        <v>10</v>
      </c>
      <c r="CT83" s="174">
        <v>10</v>
      </c>
      <c r="CX83" s="174">
        <v>10</v>
      </c>
      <c r="CZ83" s="174">
        <v>20</v>
      </c>
      <c r="DA83" s="174">
        <v>10</v>
      </c>
      <c r="DH83" s="174">
        <v>13</v>
      </c>
      <c r="DI83" s="174" t="s">
        <v>1299</v>
      </c>
      <c r="DJ83" s="174">
        <v>-10</v>
      </c>
      <c r="DK83" s="174">
        <v>-70</v>
      </c>
      <c r="DL83" s="174">
        <v>0</v>
      </c>
      <c r="DM83" s="174">
        <v>5</v>
      </c>
      <c r="DN83" s="174">
        <v>3</v>
      </c>
      <c r="DQ83" s="174">
        <v>13</v>
      </c>
      <c r="DR83" s="174" t="s">
        <v>1299</v>
      </c>
      <c r="DS83" s="205">
        <v>0</v>
      </c>
      <c r="DT83" s="174">
        <v>-51</v>
      </c>
      <c r="DU83" s="174">
        <v>0</v>
      </c>
      <c r="DV83" s="174">
        <v>0</v>
      </c>
      <c r="DW83" s="174">
        <v>3</v>
      </c>
      <c r="DY83" s="174">
        <v>100</v>
      </c>
      <c r="DZ83" s="174" t="s">
        <v>1287</v>
      </c>
      <c r="EC83" s="174">
        <v>100</v>
      </c>
      <c r="ED83" s="174" t="s">
        <v>4080</v>
      </c>
      <c r="EE83" s="203">
        <v>0.76520000000000021</v>
      </c>
      <c r="EF83" s="174">
        <v>-35</v>
      </c>
      <c r="EH83" s="174">
        <v>13.000999999999999</v>
      </c>
      <c r="EI83" s="174">
        <v>-104</v>
      </c>
      <c r="EO83" s="174" t="s">
        <v>1178</v>
      </c>
      <c r="EP83" s="174" t="s">
        <v>458</v>
      </c>
      <c r="EQ83" s="174" t="s">
        <v>4075</v>
      </c>
      <c r="ER83" s="174" t="s">
        <v>459</v>
      </c>
      <c r="ES83" s="174" t="s">
        <v>459</v>
      </c>
      <c r="ET83" s="174" t="s">
        <v>458</v>
      </c>
      <c r="EU83" s="174" t="s">
        <v>1129</v>
      </c>
      <c r="EV83" s="174" t="s">
        <v>681</v>
      </c>
      <c r="EW83" s="174" t="s">
        <v>551</v>
      </c>
      <c r="EX83" s="174" t="s">
        <v>1300</v>
      </c>
      <c r="EY83" s="174" t="s">
        <v>458</v>
      </c>
      <c r="EZ83" s="174" t="s">
        <v>1217</v>
      </c>
      <c r="FA83" s="174" t="s">
        <v>4247</v>
      </c>
      <c r="FB83" s="174" t="s">
        <v>1317</v>
      </c>
      <c r="FC83" s="174" t="s">
        <v>1317</v>
      </c>
      <c r="FE83" s="174" t="s">
        <v>530</v>
      </c>
      <c r="FF83" s="174" t="s">
        <v>530</v>
      </c>
      <c r="FG83" s="174" t="s">
        <v>449</v>
      </c>
      <c r="FH83" s="174" t="s">
        <v>548</v>
      </c>
      <c r="FI83" s="174" t="s">
        <v>675</v>
      </c>
      <c r="FJ83" s="174" t="s">
        <v>415</v>
      </c>
      <c r="FK83" s="174" t="s">
        <v>536</v>
      </c>
      <c r="FL83" s="174" t="s">
        <v>449</v>
      </c>
      <c r="FM83" s="174" t="s">
        <v>543</v>
      </c>
      <c r="FN83" s="174" t="s">
        <v>1269</v>
      </c>
      <c r="FO83" s="174" t="s">
        <v>681</v>
      </c>
      <c r="FQ83" s="174" t="s">
        <v>527</v>
      </c>
      <c r="FR83" s="174" t="s">
        <v>506</v>
      </c>
      <c r="FS83" s="174" t="s">
        <v>548</v>
      </c>
      <c r="FT83" s="174" t="s">
        <v>675</v>
      </c>
      <c r="FU83" s="174" t="s">
        <v>415</v>
      </c>
      <c r="FV83" s="174" t="s">
        <v>1128</v>
      </c>
      <c r="FX83" s="174" t="s">
        <v>415</v>
      </c>
      <c r="FY83" s="174" t="s">
        <v>682</v>
      </c>
      <c r="FZ83" s="174" t="s">
        <v>671</v>
      </c>
      <c r="HA83" s="174">
        <v>14</v>
      </c>
      <c r="HB83" s="197">
        <v>80</v>
      </c>
      <c r="HC83" s="194">
        <v>60</v>
      </c>
      <c r="HD83" s="238">
        <v>85</v>
      </c>
      <c r="HE83" s="236">
        <v>25</v>
      </c>
      <c r="HF83" s="183">
        <v>145</v>
      </c>
      <c r="HG83" s="193">
        <f t="shared" si="116"/>
        <v>140</v>
      </c>
      <c r="HH83" s="192" t="e">
        <f t="shared" si="117"/>
        <v>#REF!</v>
      </c>
      <c r="HI83" s="198">
        <v>25</v>
      </c>
      <c r="HJ83" s="185">
        <v>130</v>
      </c>
      <c r="HK83" s="174">
        <v>81</v>
      </c>
      <c r="HL83" s="174">
        <f t="shared" si="83"/>
        <v>394</v>
      </c>
      <c r="HM83" s="174">
        <f t="shared" si="84"/>
        <v>384</v>
      </c>
      <c r="HN83" s="174">
        <f t="shared" si="85"/>
        <v>313</v>
      </c>
      <c r="HO83" s="174">
        <f t="shared" si="86"/>
        <v>252</v>
      </c>
      <c r="HP83" s="174">
        <f t="shared" si="87"/>
        <v>201</v>
      </c>
      <c r="HQ83" s="174">
        <f t="shared" si="88"/>
        <v>191</v>
      </c>
      <c r="HR83" s="174">
        <f t="shared" si="89"/>
        <v>191</v>
      </c>
      <c r="HS83" s="174">
        <f t="shared" si="90"/>
        <v>181</v>
      </c>
      <c r="HT83" s="174">
        <f t="shared" si="91"/>
        <v>171</v>
      </c>
      <c r="HU83" s="174">
        <f t="shared" si="92"/>
        <v>303</v>
      </c>
      <c r="HV83" s="174">
        <f t="shared" si="93"/>
        <v>191</v>
      </c>
      <c r="HW83" s="174">
        <f t="shared" si="94"/>
        <v>181</v>
      </c>
      <c r="HX83" s="174">
        <f t="shared" si="95"/>
        <v>232</v>
      </c>
      <c r="HY83" s="174">
        <f t="shared" si="96"/>
        <v>171</v>
      </c>
      <c r="HZ83" s="174">
        <f t="shared" si="97"/>
        <v>161</v>
      </c>
      <c r="IA83" s="174">
        <f t="shared" si="98"/>
        <v>151</v>
      </c>
      <c r="IB83" s="174">
        <f t="shared" si="99"/>
        <v>222</v>
      </c>
      <c r="IC83" s="174">
        <f t="shared" si="100"/>
        <v>202</v>
      </c>
      <c r="ID83" s="174">
        <f t="shared" si="101"/>
        <v>141</v>
      </c>
      <c r="IE83" s="174">
        <f t="shared" si="102"/>
        <v>192</v>
      </c>
      <c r="IF83" s="174">
        <f t="shared" si="103"/>
        <v>141</v>
      </c>
      <c r="IG83" s="174">
        <f t="shared" si="104"/>
        <v>121</v>
      </c>
      <c r="IH83" s="174">
        <f t="shared" si="105"/>
        <v>111</v>
      </c>
      <c r="II83" s="174">
        <f t="shared" si="106"/>
        <v>91</v>
      </c>
      <c r="IJ83" s="174">
        <v>83</v>
      </c>
      <c r="IR83" s="174">
        <v>3550000</v>
      </c>
      <c r="IS83" s="174">
        <v>81</v>
      </c>
    </row>
    <row r="84" spans="1:253" ht="13.35" customHeight="1" x14ac:dyDescent="0.2">
      <c r="A84" s="183">
        <f t="shared" si="114"/>
        <v>83</v>
      </c>
      <c r="B84" s="184">
        <f t="shared" si="118"/>
        <v>3</v>
      </c>
      <c r="C84" s="183">
        <f t="shared" si="115"/>
        <v>83</v>
      </c>
      <c r="D84" s="174">
        <v>27</v>
      </c>
      <c r="E84" s="189" t="s">
        <v>607</v>
      </c>
      <c r="J84" s="174">
        <v>5</v>
      </c>
      <c r="M84" s="174">
        <v>5</v>
      </c>
      <c r="N84" s="174">
        <v>20</v>
      </c>
      <c r="T84" s="174">
        <v>20</v>
      </c>
      <c r="AM84" s="174">
        <v>5</v>
      </c>
      <c r="AS84" s="174">
        <v>15</v>
      </c>
      <c r="AU84" s="174">
        <v>10</v>
      </c>
      <c r="BA84" s="174">
        <v>5</v>
      </c>
      <c r="BX84" s="174">
        <v>5</v>
      </c>
      <c r="BZ84" s="174">
        <v>15</v>
      </c>
      <c r="CA84" s="174">
        <v>15</v>
      </c>
      <c r="CG84" s="174">
        <v>15</v>
      </c>
      <c r="CH84" s="174">
        <v>15</v>
      </c>
      <c r="CK84" s="174">
        <v>5</v>
      </c>
      <c r="CN84" s="174">
        <v>10</v>
      </c>
      <c r="CP84" s="174">
        <v>10</v>
      </c>
      <c r="CS84" s="174">
        <v>10</v>
      </c>
      <c r="CT84" s="174">
        <v>10</v>
      </c>
      <c r="CX84" s="174">
        <v>10</v>
      </c>
      <c r="CZ84" s="174">
        <v>20</v>
      </c>
      <c r="DA84" s="174">
        <v>10</v>
      </c>
      <c r="DH84" s="174">
        <v>14</v>
      </c>
      <c r="DI84" s="174" t="s">
        <v>1303</v>
      </c>
      <c r="DJ84" s="174">
        <v>-15</v>
      </c>
      <c r="DK84" s="174">
        <v>-90</v>
      </c>
      <c r="DL84" s="174">
        <v>10</v>
      </c>
      <c r="DM84" s="174">
        <v>10</v>
      </c>
      <c r="DN84" s="174">
        <v>3</v>
      </c>
      <c r="DQ84" s="174">
        <v>14</v>
      </c>
      <c r="DR84" s="174" t="s">
        <v>1303</v>
      </c>
      <c r="DS84" s="205">
        <v>-4</v>
      </c>
      <c r="DT84" s="174">
        <v>-68</v>
      </c>
      <c r="DU84" s="174">
        <v>0</v>
      </c>
      <c r="DV84" s="174">
        <v>0</v>
      </c>
      <c r="DW84" s="174">
        <v>3</v>
      </c>
      <c r="EE84" s="203">
        <v>0.7906000000000003</v>
      </c>
      <c r="EF84" s="174">
        <v>-35</v>
      </c>
      <c r="EH84" s="174">
        <v>14.000999999999999</v>
      </c>
      <c r="EI84" s="174">
        <v>-112</v>
      </c>
      <c r="EO84" s="174" t="s">
        <v>4238</v>
      </c>
      <c r="EP84" s="174" t="s">
        <v>4075</v>
      </c>
      <c r="EQ84" s="174" t="s">
        <v>681</v>
      </c>
      <c r="ER84" s="174" t="s">
        <v>666</v>
      </c>
      <c r="ES84" s="174" t="s">
        <v>666</v>
      </c>
      <c r="ET84" s="174" t="s">
        <v>459</v>
      </c>
      <c r="EU84" s="174" t="s">
        <v>420</v>
      </c>
      <c r="EV84" s="174" t="s">
        <v>530</v>
      </c>
      <c r="EW84" s="174" t="s">
        <v>650</v>
      </c>
      <c r="EX84" s="174" t="s">
        <v>1135</v>
      </c>
      <c r="EY84" s="174" t="s">
        <v>527</v>
      </c>
      <c r="EZ84" s="174" t="s">
        <v>458</v>
      </c>
      <c r="FA84" s="174" t="s">
        <v>671</v>
      </c>
      <c r="FB84" s="174" t="s">
        <v>1137</v>
      </c>
      <c r="FC84" s="174" t="s">
        <v>1137</v>
      </c>
      <c r="FD84" s="174" t="s">
        <v>487</v>
      </c>
      <c r="FE84" s="174" t="s">
        <v>561</v>
      </c>
      <c r="FF84" s="174" t="s">
        <v>561</v>
      </c>
      <c r="FG84" s="174" t="s">
        <v>677</v>
      </c>
      <c r="FH84" s="174" t="s">
        <v>1297</v>
      </c>
      <c r="FI84" s="174" t="s">
        <v>531</v>
      </c>
      <c r="FJ84" s="174" t="s">
        <v>548</v>
      </c>
      <c r="FK84" s="174" t="s">
        <v>449</v>
      </c>
      <c r="FL84" s="174" t="s">
        <v>677</v>
      </c>
      <c r="FM84" s="174" t="s">
        <v>1124</v>
      </c>
      <c r="FN84" s="174" t="s">
        <v>4283</v>
      </c>
      <c r="FO84" s="174" t="s">
        <v>675</v>
      </c>
      <c r="FQ84" s="174" t="s">
        <v>415</v>
      </c>
      <c r="FR84" s="174" t="s">
        <v>4291</v>
      </c>
      <c r="FS84" s="174" t="s">
        <v>666</v>
      </c>
      <c r="FT84" s="174" t="s">
        <v>1128</v>
      </c>
      <c r="FU84" s="174" t="s">
        <v>548</v>
      </c>
      <c r="FV84" s="174" t="s">
        <v>1368</v>
      </c>
      <c r="FW84" s="174" t="s">
        <v>675</v>
      </c>
      <c r="FX84" s="174" t="s">
        <v>548</v>
      </c>
      <c r="FY84" s="174" t="s">
        <v>675</v>
      </c>
      <c r="FZ84" s="174" t="s">
        <v>415</v>
      </c>
      <c r="HA84" s="174">
        <v>15</v>
      </c>
      <c r="HB84" s="197">
        <v>81</v>
      </c>
      <c r="HC84" s="194">
        <v>61</v>
      </c>
      <c r="HD84" s="238">
        <v>86</v>
      </c>
      <c r="HE84" s="236">
        <v>25</v>
      </c>
      <c r="HF84" s="183">
        <v>146</v>
      </c>
      <c r="HG84" s="193">
        <f t="shared" si="116"/>
        <v>141</v>
      </c>
      <c r="HH84" s="192" t="e">
        <f t="shared" si="117"/>
        <v>#REF!</v>
      </c>
      <c r="HI84" s="198">
        <v>25</v>
      </c>
      <c r="HJ84" s="185">
        <v>130.5</v>
      </c>
      <c r="HK84" s="174">
        <v>82</v>
      </c>
      <c r="HL84" s="174">
        <f t="shared" si="83"/>
        <v>398</v>
      </c>
      <c r="HM84" s="174">
        <f t="shared" si="84"/>
        <v>388</v>
      </c>
      <c r="HN84" s="174">
        <f t="shared" si="85"/>
        <v>316</v>
      </c>
      <c r="HO84" s="174">
        <f t="shared" si="86"/>
        <v>254</v>
      </c>
      <c r="HP84" s="174">
        <f t="shared" si="87"/>
        <v>202</v>
      </c>
      <c r="HQ84" s="174">
        <f t="shared" si="88"/>
        <v>192</v>
      </c>
      <c r="HR84" s="174">
        <f t="shared" si="89"/>
        <v>192</v>
      </c>
      <c r="HS84" s="174">
        <f t="shared" si="90"/>
        <v>182</v>
      </c>
      <c r="HT84" s="174">
        <f t="shared" si="91"/>
        <v>172</v>
      </c>
      <c r="HU84" s="174">
        <f t="shared" si="92"/>
        <v>306</v>
      </c>
      <c r="HV84" s="174">
        <f t="shared" si="93"/>
        <v>192</v>
      </c>
      <c r="HW84" s="174">
        <f t="shared" si="94"/>
        <v>182</v>
      </c>
      <c r="HX84" s="174">
        <f t="shared" si="95"/>
        <v>234</v>
      </c>
      <c r="HY84" s="174">
        <f t="shared" si="96"/>
        <v>172</v>
      </c>
      <c r="HZ84" s="174">
        <f t="shared" si="97"/>
        <v>162</v>
      </c>
      <c r="IA84" s="174">
        <f t="shared" si="98"/>
        <v>152</v>
      </c>
      <c r="IB84" s="174">
        <f t="shared" si="99"/>
        <v>224</v>
      </c>
      <c r="IC84" s="174">
        <f t="shared" si="100"/>
        <v>204</v>
      </c>
      <c r="ID84" s="174">
        <f t="shared" si="101"/>
        <v>142</v>
      </c>
      <c r="IE84" s="174">
        <f t="shared" si="102"/>
        <v>194</v>
      </c>
      <c r="IF84" s="174">
        <f t="shared" si="103"/>
        <v>142</v>
      </c>
      <c r="IG84" s="174">
        <f t="shared" si="104"/>
        <v>122</v>
      </c>
      <c r="IH84" s="174">
        <f t="shared" si="105"/>
        <v>112</v>
      </c>
      <c r="II84" s="174">
        <f t="shared" si="106"/>
        <v>92</v>
      </c>
      <c r="IJ84" s="174">
        <v>84</v>
      </c>
      <c r="IR84" s="174">
        <v>3600000</v>
      </c>
      <c r="IS84" s="174">
        <v>82</v>
      </c>
    </row>
    <row r="85" spans="1:253" ht="13.35" customHeight="1" x14ac:dyDescent="0.2">
      <c r="A85" s="183">
        <f t="shared" si="114"/>
        <v>84</v>
      </c>
      <c r="B85" s="184">
        <f t="shared" si="118"/>
        <v>3</v>
      </c>
      <c r="C85" s="183">
        <f t="shared" si="115"/>
        <v>84</v>
      </c>
      <c r="D85" s="174">
        <v>28</v>
      </c>
      <c r="E85" s="189" t="s">
        <v>617</v>
      </c>
      <c r="J85" s="174">
        <v>5</v>
      </c>
      <c r="K85" s="174">
        <v>10</v>
      </c>
      <c r="L85" s="174">
        <v>10</v>
      </c>
      <c r="M85" s="174">
        <v>10</v>
      </c>
      <c r="N85" s="174">
        <v>5</v>
      </c>
      <c r="O85" s="174">
        <v>5</v>
      </c>
      <c r="P85" s="174">
        <v>5</v>
      </c>
      <c r="Q85" s="174">
        <v>5</v>
      </c>
      <c r="R85" s="174">
        <v>10</v>
      </c>
      <c r="S85" s="174">
        <v>10</v>
      </c>
      <c r="V85" s="174">
        <v>5</v>
      </c>
      <c r="W85" s="174">
        <v>5</v>
      </c>
      <c r="X85" s="174">
        <v>5</v>
      </c>
      <c r="Y85" s="174">
        <v>5</v>
      </c>
      <c r="AA85" s="174">
        <v>15</v>
      </c>
      <c r="AB85" s="174">
        <v>10</v>
      </c>
      <c r="AC85" s="174">
        <v>10</v>
      </c>
      <c r="AD85" s="174">
        <v>5</v>
      </c>
      <c r="AF85" s="174">
        <v>10</v>
      </c>
      <c r="AG85" s="174">
        <v>10</v>
      </c>
      <c r="AH85" s="174">
        <v>5</v>
      </c>
      <c r="AK85" s="174">
        <v>5</v>
      </c>
      <c r="AL85" s="174">
        <v>5</v>
      </c>
      <c r="AM85" s="174">
        <v>5</v>
      </c>
      <c r="AO85" s="174">
        <v>10</v>
      </c>
      <c r="AP85" s="174">
        <v>10</v>
      </c>
      <c r="AT85" s="174">
        <v>5</v>
      </c>
      <c r="BC85" s="174">
        <v>5</v>
      </c>
      <c r="BD85" s="174">
        <v>5</v>
      </c>
      <c r="BE85" s="174">
        <v>5</v>
      </c>
      <c r="BF85" s="174">
        <v>5</v>
      </c>
      <c r="BG85" s="174">
        <v>10</v>
      </c>
      <c r="BJ85" s="174">
        <v>5</v>
      </c>
      <c r="BK85" s="174">
        <v>5</v>
      </c>
      <c r="BS85" s="174">
        <v>5</v>
      </c>
      <c r="BT85" s="174">
        <v>5</v>
      </c>
      <c r="CB85" s="174">
        <v>15</v>
      </c>
      <c r="CE85" s="174">
        <v>5</v>
      </c>
      <c r="CG85" s="174">
        <v>5</v>
      </c>
      <c r="CJ85" s="174">
        <v>5</v>
      </c>
      <c r="CL85" s="174">
        <v>5</v>
      </c>
      <c r="CX85" s="174">
        <v>5</v>
      </c>
      <c r="CY85" s="174">
        <v>10</v>
      </c>
      <c r="DB85" s="174">
        <v>5</v>
      </c>
      <c r="DC85" s="174">
        <v>5</v>
      </c>
      <c r="DD85" s="174">
        <v>5</v>
      </c>
      <c r="DH85" s="174">
        <v>15</v>
      </c>
      <c r="DI85" s="174" t="s">
        <v>1306</v>
      </c>
      <c r="DJ85" s="174">
        <v>-25</v>
      </c>
      <c r="DK85" s="174">
        <v>-120</v>
      </c>
      <c r="DL85" s="174">
        <v>20</v>
      </c>
      <c r="DM85" s="174">
        <v>20</v>
      </c>
      <c r="DN85" s="174">
        <v>3</v>
      </c>
      <c r="DQ85" s="174">
        <v>15</v>
      </c>
      <c r="DR85" s="174" t="s">
        <v>1306</v>
      </c>
      <c r="DS85" s="205">
        <v>-13</v>
      </c>
      <c r="DT85" s="174">
        <v>-93</v>
      </c>
      <c r="DU85" s="174">
        <v>8</v>
      </c>
      <c r="DV85" s="174">
        <v>8</v>
      </c>
      <c r="DW85" s="174">
        <v>3</v>
      </c>
      <c r="EE85" s="203">
        <v>0.8160000000000005</v>
      </c>
      <c r="EF85" s="174">
        <v>-35</v>
      </c>
      <c r="EH85" s="174">
        <v>15.000999999999999</v>
      </c>
      <c r="EI85" s="174">
        <v>-120</v>
      </c>
      <c r="EO85" s="174" t="s">
        <v>506</v>
      </c>
      <c r="EP85" s="174" t="s">
        <v>543</v>
      </c>
      <c r="EQ85" s="174" t="s">
        <v>675</v>
      </c>
      <c r="ER85" s="174" t="s">
        <v>681</v>
      </c>
      <c r="ES85" s="174" t="s">
        <v>681</v>
      </c>
      <c r="ET85" s="174" t="s">
        <v>666</v>
      </c>
      <c r="EU85" s="174" t="s">
        <v>553</v>
      </c>
      <c r="EV85" s="174" t="s">
        <v>1124</v>
      </c>
      <c r="EW85" s="174" t="s">
        <v>1308</v>
      </c>
      <c r="EX85" s="174" t="s">
        <v>173</v>
      </c>
      <c r="EY85" s="174" t="s">
        <v>1139</v>
      </c>
      <c r="EZ85" s="174" t="s">
        <v>527</v>
      </c>
      <c r="FA85" s="174" t="s">
        <v>553</v>
      </c>
      <c r="FB85" s="174" t="s">
        <v>1128</v>
      </c>
      <c r="FC85" s="174" t="s">
        <v>1128</v>
      </c>
      <c r="FD85" s="174" t="s">
        <v>1139</v>
      </c>
      <c r="FE85" s="174" t="s">
        <v>675</v>
      </c>
      <c r="FF85" s="174" t="s">
        <v>675</v>
      </c>
      <c r="FG85" s="174" t="s">
        <v>1307</v>
      </c>
      <c r="FH85" s="174" t="s">
        <v>1309</v>
      </c>
      <c r="FI85" s="174" t="s">
        <v>1128</v>
      </c>
      <c r="FJ85" s="174" t="s">
        <v>666</v>
      </c>
      <c r="FK85" s="174" t="s">
        <v>677</v>
      </c>
      <c r="FL85" s="174" t="s">
        <v>1307</v>
      </c>
      <c r="FM85" s="174" t="s">
        <v>675</v>
      </c>
      <c r="FO85" s="174" t="s">
        <v>1290</v>
      </c>
      <c r="FQ85" s="174" t="s">
        <v>548</v>
      </c>
      <c r="FR85" s="174" t="s">
        <v>1309</v>
      </c>
      <c r="FT85" s="174" t="s">
        <v>510</v>
      </c>
      <c r="FU85" s="174" t="s">
        <v>666</v>
      </c>
      <c r="FV85" s="174" t="s">
        <v>675</v>
      </c>
      <c r="FW85" s="174" t="s">
        <v>650</v>
      </c>
      <c r="FX85" s="174" t="s">
        <v>666</v>
      </c>
      <c r="FY85" s="174" t="s">
        <v>465</v>
      </c>
      <c r="FZ85" s="174" t="s">
        <v>469</v>
      </c>
      <c r="HA85" s="174">
        <v>16</v>
      </c>
      <c r="HB85" s="197">
        <v>82</v>
      </c>
      <c r="HC85" s="194">
        <v>61</v>
      </c>
      <c r="HD85" s="238">
        <v>86</v>
      </c>
      <c r="HE85" s="236">
        <v>25</v>
      </c>
      <c r="HF85" s="183">
        <v>147</v>
      </c>
      <c r="HG85" s="193">
        <f t="shared" si="116"/>
        <v>142</v>
      </c>
      <c r="HH85" s="192" t="e">
        <f t="shared" si="117"/>
        <v>#REF!</v>
      </c>
      <c r="HI85" s="198">
        <v>25</v>
      </c>
      <c r="HJ85" s="185">
        <v>131</v>
      </c>
      <c r="HK85" s="174">
        <v>83</v>
      </c>
      <c r="HL85" s="174">
        <f t="shared" si="83"/>
        <v>402</v>
      </c>
      <c r="HM85" s="174">
        <f t="shared" si="84"/>
        <v>392</v>
      </c>
      <c r="HN85" s="174">
        <f t="shared" si="85"/>
        <v>319</v>
      </c>
      <c r="HO85" s="174">
        <f t="shared" si="86"/>
        <v>256</v>
      </c>
      <c r="HP85" s="174">
        <f t="shared" si="87"/>
        <v>203</v>
      </c>
      <c r="HQ85" s="174">
        <f t="shared" si="88"/>
        <v>193</v>
      </c>
      <c r="HR85" s="174">
        <f t="shared" si="89"/>
        <v>193</v>
      </c>
      <c r="HS85" s="174">
        <f t="shared" si="90"/>
        <v>183</v>
      </c>
      <c r="HT85" s="174">
        <f t="shared" si="91"/>
        <v>173</v>
      </c>
      <c r="HU85" s="174">
        <f t="shared" si="92"/>
        <v>309</v>
      </c>
      <c r="HV85" s="174">
        <f t="shared" si="93"/>
        <v>193</v>
      </c>
      <c r="HW85" s="174">
        <f t="shared" si="94"/>
        <v>183</v>
      </c>
      <c r="HX85" s="174">
        <f t="shared" si="95"/>
        <v>236</v>
      </c>
      <c r="HY85" s="174">
        <f t="shared" si="96"/>
        <v>173</v>
      </c>
      <c r="HZ85" s="174">
        <f t="shared" si="97"/>
        <v>163</v>
      </c>
      <c r="IA85" s="174">
        <f t="shared" si="98"/>
        <v>153</v>
      </c>
      <c r="IB85" s="174">
        <f t="shared" si="99"/>
        <v>226</v>
      </c>
      <c r="IC85" s="174">
        <f t="shared" si="100"/>
        <v>206</v>
      </c>
      <c r="ID85" s="174">
        <f t="shared" si="101"/>
        <v>143</v>
      </c>
      <c r="IE85" s="174">
        <f t="shared" si="102"/>
        <v>196</v>
      </c>
      <c r="IF85" s="174">
        <f t="shared" si="103"/>
        <v>143</v>
      </c>
      <c r="IG85" s="174">
        <f t="shared" si="104"/>
        <v>123</v>
      </c>
      <c r="IH85" s="174">
        <f t="shared" si="105"/>
        <v>113</v>
      </c>
      <c r="II85" s="174">
        <f t="shared" si="106"/>
        <v>93</v>
      </c>
      <c r="IJ85" s="174">
        <v>85</v>
      </c>
      <c r="IR85" s="174">
        <v>3650000</v>
      </c>
      <c r="IS85" s="174">
        <v>83</v>
      </c>
    </row>
    <row r="86" spans="1:253" ht="13.35" customHeight="1" x14ac:dyDescent="0.2">
      <c r="A86" s="183">
        <f t="shared" si="114"/>
        <v>85</v>
      </c>
      <c r="B86" s="184">
        <f t="shared" si="118"/>
        <v>4</v>
      </c>
      <c r="C86" s="183">
        <f t="shared" si="115"/>
        <v>85</v>
      </c>
      <c r="D86" s="174">
        <v>29</v>
      </c>
      <c r="E86" s="189" t="s">
        <v>622</v>
      </c>
      <c r="J86" s="174">
        <v>5</v>
      </c>
      <c r="K86" s="174">
        <v>10</v>
      </c>
      <c r="L86" s="174">
        <v>10</v>
      </c>
      <c r="M86" s="174">
        <v>5</v>
      </c>
      <c r="N86" s="174">
        <v>5</v>
      </c>
      <c r="O86" s="174">
        <v>5</v>
      </c>
      <c r="P86" s="174">
        <v>5</v>
      </c>
      <c r="Q86" s="174">
        <v>5</v>
      </c>
      <c r="R86" s="174">
        <v>5</v>
      </c>
      <c r="S86" s="174">
        <v>15</v>
      </c>
      <c r="U86" s="174">
        <v>5</v>
      </c>
      <c r="W86" s="174">
        <v>5</v>
      </c>
      <c r="AA86" s="174">
        <v>10</v>
      </c>
      <c r="AB86" s="174">
        <v>15</v>
      </c>
      <c r="AC86" s="174">
        <v>10</v>
      </c>
      <c r="AF86" s="174">
        <v>10</v>
      </c>
      <c r="AG86" s="174">
        <v>15</v>
      </c>
      <c r="AH86" s="174">
        <v>5</v>
      </c>
      <c r="AK86" s="174">
        <v>5</v>
      </c>
      <c r="AL86" s="174">
        <v>5</v>
      </c>
      <c r="AM86" s="174">
        <v>5</v>
      </c>
      <c r="AO86" s="174">
        <v>10</v>
      </c>
      <c r="AP86" s="174">
        <v>10</v>
      </c>
      <c r="BC86" s="174">
        <v>5</v>
      </c>
      <c r="BD86" s="174">
        <v>5</v>
      </c>
      <c r="BE86" s="174">
        <v>5</v>
      </c>
      <c r="BI86" s="174">
        <v>5</v>
      </c>
      <c r="BJ86" s="174">
        <v>5</v>
      </c>
      <c r="BK86" s="174">
        <v>5</v>
      </c>
      <c r="BS86" s="174">
        <v>5</v>
      </c>
      <c r="BT86" s="174">
        <v>5</v>
      </c>
      <c r="CB86" s="174">
        <v>5</v>
      </c>
      <c r="CE86" s="174">
        <v>5</v>
      </c>
      <c r="CX86" s="174">
        <v>5</v>
      </c>
      <c r="CY86" s="174">
        <v>5</v>
      </c>
      <c r="CZ86" s="174">
        <v>5</v>
      </c>
      <c r="DH86" s="174">
        <v>16</v>
      </c>
      <c r="DI86" s="174" t="s">
        <v>1315</v>
      </c>
      <c r="DJ86" s="174">
        <v>-25</v>
      </c>
      <c r="DK86" s="174">
        <v>-130</v>
      </c>
      <c r="DL86" s="174">
        <v>20</v>
      </c>
      <c r="DM86" s="174">
        <v>20</v>
      </c>
      <c r="DN86" s="174">
        <v>3</v>
      </c>
      <c r="DQ86" s="174">
        <v>16</v>
      </c>
      <c r="DR86" s="174" t="s">
        <v>1315</v>
      </c>
      <c r="DS86" s="205">
        <v>-13</v>
      </c>
      <c r="DT86" s="174">
        <v>-102</v>
      </c>
      <c r="DU86" s="174">
        <v>8</v>
      </c>
      <c r="DV86" s="174">
        <v>8</v>
      </c>
      <c r="DW86" s="174">
        <v>3</v>
      </c>
      <c r="EE86" s="203">
        <v>0.84140000000000037</v>
      </c>
      <c r="EF86" s="174">
        <v>-35</v>
      </c>
      <c r="EH86" s="174">
        <v>16.001000000000001</v>
      </c>
      <c r="EI86" s="174">
        <v>-128</v>
      </c>
      <c r="EO86" s="174" t="s">
        <v>702</v>
      </c>
      <c r="EP86" s="174" t="s">
        <v>681</v>
      </c>
      <c r="EQ86" s="174" t="s">
        <v>550</v>
      </c>
      <c r="ER86" s="174" t="s">
        <v>1317</v>
      </c>
      <c r="ES86" s="174" t="s">
        <v>1317</v>
      </c>
      <c r="ET86" s="174" t="s">
        <v>681</v>
      </c>
      <c r="EU86" s="174" t="s">
        <v>1345</v>
      </c>
      <c r="EV86" s="174" t="s">
        <v>675</v>
      </c>
      <c r="EW86" s="174" t="s">
        <v>487</v>
      </c>
      <c r="EX86" s="174" t="s">
        <v>551</v>
      </c>
      <c r="EY86" s="174" t="s">
        <v>560</v>
      </c>
      <c r="EZ86" s="174" t="s">
        <v>543</v>
      </c>
      <c r="FA86" s="174" t="s">
        <v>1338</v>
      </c>
      <c r="FB86" s="174" t="s">
        <v>4247</v>
      </c>
      <c r="FC86" s="174" t="s">
        <v>4247</v>
      </c>
      <c r="FD86" s="174" t="s">
        <v>536</v>
      </c>
      <c r="FE86" s="174" t="s">
        <v>531</v>
      </c>
      <c r="FF86" s="174" t="s">
        <v>531</v>
      </c>
      <c r="FG86" s="174" t="s">
        <v>452</v>
      </c>
      <c r="FH86" s="174" t="s">
        <v>681</v>
      </c>
      <c r="FI86" s="174" t="s">
        <v>487</v>
      </c>
      <c r="FJ86" s="174" t="s">
        <v>1316</v>
      </c>
      <c r="FK86" s="174" t="s">
        <v>1307</v>
      </c>
      <c r="FL86" s="174" t="s">
        <v>452</v>
      </c>
      <c r="FM86" s="174" t="s">
        <v>4284</v>
      </c>
      <c r="FO86" s="174" t="s">
        <v>437</v>
      </c>
      <c r="FQ86" s="174" t="s">
        <v>666</v>
      </c>
      <c r="FR86" s="174" t="s">
        <v>681</v>
      </c>
      <c r="FS86" s="174" t="s">
        <v>681</v>
      </c>
      <c r="FT86" s="174" t="s">
        <v>1368</v>
      </c>
      <c r="FU86" s="174" t="s">
        <v>1316</v>
      </c>
      <c r="FV86" s="174" t="s">
        <v>677</v>
      </c>
      <c r="FW86" s="174" t="s">
        <v>487</v>
      </c>
      <c r="FX86" s="174" t="s">
        <v>1316</v>
      </c>
      <c r="FY86" s="174" t="s">
        <v>437</v>
      </c>
      <c r="FZ86" s="174" t="s">
        <v>450</v>
      </c>
      <c r="HA86" s="174">
        <v>17</v>
      </c>
      <c r="HB86" s="197">
        <v>83</v>
      </c>
      <c r="HC86" s="194">
        <v>62</v>
      </c>
      <c r="HD86" s="238">
        <v>87</v>
      </c>
      <c r="HE86" s="236">
        <v>25</v>
      </c>
      <c r="HF86" s="183">
        <v>148</v>
      </c>
      <c r="HG86" s="193">
        <f t="shared" si="116"/>
        <v>143</v>
      </c>
      <c r="HH86" s="192" t="e">
        <f t="shared" si="117"/>
        <v>#REF!</v>
      </c>
      <c r="HI86" s="198">
        <v>25</v>
      </c>
      <c r="HJ86" s="185">
        <v>131.5</v>
      </c>
      <c r="HK86" s="174">
        <v>84</v>
      </c>
      <c r="HL86" s="174">
        <f t="shared" si="83"/>
        <v>406</v>
      </c>
      <c r="HM86" s="174">
        <f t="shared" si="84"/>
        <v>396</v>
      </c>
      <c r="HN86" s="174">
        <f t="shared" si="85"/>
        <v>322</v>
      </c>
      <c r="HO86" s="174">
        <f t="shared" si="86"/>
        <v>258</v>
      </c>
      <c r="HP86" s="174">
        <f t="shared" si="87"/>
        <v>204</v>
      </c>
      <c r="HQ86" s="174">
        <f t="shared" si="88"/>
        <v>194</v>
      </c>
      <c r="HR86" s="174">
        <f t="shared" si="89"/>
        <v>194</v>
      </c>
      <c r="HS86" s="174">
        <f t="shared" si="90"/>
        <v>184</v>
      </c>
      <c r="HT86" s="174">
        <f t="shared" si="91"/>
        <v>174</v>
      </c>
      <c r="HU86" s="174">
        <f t="shared" si="92"/>
        <v>312</v>
      </c>
      <c r="HV86" s="174">
        <f t="shared" si="93"/>
        <v>194</v>
      </c>
      <c r="HW86" s="174">
        <f t="shared" si="94"/>
        <v>184</v>
      </c>
      <c r="HX86" s="174">
        <f t="shared" si="95"/>
        <v>238</v>
      </c>
      <c r="HY86" s="174">
        <f t="shared" si="96"/>
        <v>174</v>
      </c>
      <c r="HZ86" s="174">
        <f t="shared" si="97"/>
        <v>164</v>
      </c>
      <c r="IA86" s="174">
        <f t="shared" si="98"/>
        <v>154</v>
      </c>
      <c r="IB86" s="174">
        <f t="shared" si="99"/>
        <v>228</v>
      </c>
      <c r="IC86" s="174">
        <f t="shared" si="100"/>
        <v>208</v>
      </c>
      <c r="ID86" s="174">
        <f t="shared" si="101"/>
        <v>144</v>
      </c>
      <c r="IE86" s="174">
        <f t="shared" si="102"/>
        <v>198</v>
      </c>
      <c r="IF86" s="174">
        <f t="shared" si="103"/>
        <v>144</v>
      </c>
      <c r="IG86" s="174">
        <f t="shared" si="104"/>
        <v>124</v>
      </c>
      <c r="IH86" s="174">
        <f t="shared" si="105"/>
        <v>114</v>
      </c>
      <c r="II86" s="174">
        <f t="shared" si="106"/>
        <v>94</v>
      </c>
      <c r="IJ86" s="174">
        <v>86</v>
      </c>
      <c r="IR86" s="174">
        <v>3700000</v>
      </c>
      <c r="IS86" s="174">
        <v>84</v>
      </c>
    </row>
    <row r="87" spans="1:253" ht="13.35" customHeight="1" x14ac:dyDescent="0.2">
      <c r="A87" s="183">
        <f t="shared" si="114"/>
        <v>86</v>
      </c>
      <c r="B87" s="184">
        <f t="shared" si="118"/>
        <v>4</v>
      </c>
      <c r="C87" s="183">
        <f t="shared" si="115"/>
        <v>86</v>
      </c>
      <c r="D87" s="174">
        <v>30</v>
      </c>
      <c r="E87" s="189" t="s">
        <v>626</v>
      </c>
      <c r="K87" s="174">
        <v>5</v>
      </c>
      <c r="L87" s="174">
        <v>5</v>
      </c>
      <c r="M87" s="174">
        <v>5</v>
      </c>
      <c r="N87" s="174">
        <v>5</v>
      </c>
      <c r="O87" s="174">
        <v>5</v>
      </c>
      <c r="P87" s="174">
        <v>5</v>
      </c>
      <c r="Q87" s="174">
        <v>5</v>
      </c>
      <c r="R87" s="174">
        <v>5</v>
      </c>
      <c r="S87" s="174">
        <v>5</v>
      </c>
      <c r="AA87" s="174">
        <v>5</v>
      </c>
      <c r="AB87" s="174">
        <v>5</v>
      </c>
      <c r="AC87" s="174">
        <v>5</v>
      </c>
      <c r="AF87" s="174">
        <v>5</v>
      </c>
      <c r="AG87" s="174">
        <v>5</v>
      </c>
      <c r="AK87" s="174">
        <v>5</v>
      </c>
      <c r="AL87" s="174">
        <v>5</v>
      </c>
      <c r="AM87" s="174">
        <v>5</v>
      </c>
      <c r="AO87" s="174">
        <v>5</v>
      </c>
      <c r="AP87" s="174">
        <v>5</v>
      </c>
      <c r="AS87" s="174">
        <v>5</v>
      </c>
      <c r="AT87" s="174">
        <v>5</v>
      </c>
      <c r="AU87" s="174">
        <v>5</v>
      </c>
      <c r="AV87" s="174">
        <v>5</v>
      </c>
      <c r="AW87" s="174">
        <v>5</v>
      </c>
      <c r="AX87" s="174">
        <v>5</v>
      </c>
      <c r="AY87" s="174">
        <v>5</v>
      </c>
      <c r="BB87" s="174">
        <v>10</v>
      </c>
      <c r="BC87" s="174">
        <v>10</v>
      </c>
      <c r="BD87" s="174">
        <v>10</v>
      </c>
      <c r="BE87" s="174">
        <v>10</v>
      </c>
      <c r="BF87" s="174">
        <v>5</v>
      </c>
      <c r="BG87" s="174">
        <v>5</v>
      </c>
      <c r="BH87" s="174">
        <v>5</v>
      </c>
      <c r="BI87" s="174">
        <v>5</v>
      </c>
      <c r="BJ87" s="174">
        <v>5</v>
      </c>
      <c r="BK87" s="174">
        <v>5</v>
      </c>
      <c r="BL87" s="174">
        <v>5</v>
      </c>
      <c r="BM87" s="174">
        <v>5</v>
      </c>
      <c r="BN87" s="174">
        <v>5</v>
      </c>
      <c r="BO87" s="174">
        <v>5</v>
      </c>
      <c r="BP87" s="174">
        <v>5</v>
      </c>
      <c r="BQ87" s="174">
        <v>5</v>
      </c>
      <c r="BR87" s="174">
        <v>5</v>
      </c>
      <c r="BS87" s="174">
        <v>10</v>
      </c>
      <c r="BT87" s="174">
        <v>5</v>
      </c>
      <c r="BU87" s="174">
        <v>5</v>
      </c>
      <c r="BV87" s="174">
        <v>5</v>
      </c>
      <c r="BX87" s="174">
        <v>5</v>
      </c>
      <c r="BY87" s="174">
        <v>5</v>
      </c>
      <c r="BZ87" s="174">
        <v>5</v>
      </c>
      <c r="CA87" s="174">
        <v>5</v>
      </c>
      <c r="CB87" s="174">
        <v>5</v>
      </c>
      <c r="CC87" s="174">
        <v>5</v>
      </c>
      <c r="CD87" s="174">
        <v>5</v>
      </c>
      <c r="CE87" s="174">
        <v>5</v>
      </c>
      <c r="CF87" s="174">
        <v>5</v>
      </c>
      <c r="CG87" s="174">
        <v>5</v>
      </c>
      <c r="CH87" s="174">
        <v>5</v>
      </c>
      <c r="CI87" s="174">
        <v>5</v>
      </c>
      <c r="CJ87" s="174">
        <v>5</v>
      </c>
      <c r="CK87" s="174">
        <v>5</v>
      </c>
      <c r="CL87" s="174">
        <v>5</v>
      </c>
      <c r="CM87" s="174">
        <v>5</v>
      </c>
      <c r="CN87" s="174">
        <v>5</v>
      </c>
      <c r="CO87" s="174">
        <v>5</v>
      </c>
      <c r="CP87" s="174">
        <v>5</v>
      </c>
      <c r="CQ87" s="174">
        <v>5</v>
      </c>
      <c r="CY87" s="174">
        <v>5</v>
      </c>
      <c r="CZ87" s="174">
        <v>5</v>
      </c>
      <c r="DB87" s="174">
        <v>5</v>
      </c>
      <c r="DC87" s="174">
        <v>5</v>
      </c>
      <c r="DD87" s="174">
        <v>5</v>
      </c>
      <c r="DH87" s="174">
        <v>17</v>
      </c>
      <c r="DI87" s="174" t="s">
        <v>1319</v>
      </c>
      <c r="DJ87" s="174">
        <v>-15</v>
      </c>
      <c r="DK87" s="174">
        <v>-90</v>
      </c>
      <c r="DL87" s="174">
        <v>0</v>
      </c>
      <c r="DM87" s="174">
        <v>10</v>
      </c>
      <c r="DN87" s="174">
        <v>4</v>
      </c>
      <c r="DQ87" s="174">
        <v>17</v>
      </c>
      <c r="DR87" s="174" t="s">
        <v>1319</v>
      </c>
      <c r="DS87" s="205">
        <v>-4</v>
      </c>
      <c r="DT87" s="174">
        <v>-68</v>
      </c>
      <c r="DU87" s="174">
        <v>0</v>
      </c>
      <c r="DV87" s="174">
        <v>0</v>
      </c>
      <c r="DW87" s="174">
        <v>4</v>
      </c>
      <c r="EE87" s="203">
        <v>0.86680000000000035</v>
      </c>
      <c r="EF87" s="174">
        <v>-30</v>
      </c>
      <c r="EH87" s="174">
        <v>17.001000000000001</v>
      </c>
      <c r="EI87" s="174">
        <v>-136</v>
      </c>
      <c r="EO87" s="174" t="s">
        <v>4231</v>
      </c>
      <c r="EP87" s="174" t="s">
        <v>675</v>
      </c>
      <c r="EQ87" s="174" t="s">
        <v>173</v>
      </c>
      <c r="ER87" s="174" t="s">
        <v>1137</v>
      </c>
      <c r="ES87" s="174" t="s">
        <v>1137</v>
      </c>
      <c r="ET87" s="174" t="s">
        <v>1317</v>
      </c>
      <c r="EU87" s="174" t="s">
        <v>461</v>
      </c>
      <c r="EV87" s="174" t="s">
        <v>1290</v>
      </c>
      <c r="EW87" s="174" t="s">
        <v>1129</v>
      </c>
      <c r="EX87" s="174" t="s">
        <v>650</v>
      </c>
      <c r="EY87" s="174" t="s">
        <v>681</v>
      </c>
      <c r="EZ87" s="174" t="s">
        <v>560</v>
      </c>
      <c r="FA87" s="174" t="s">
        <v>1144</v>
      </c>
      <c r="FB87" s="174" t="s">
        <v>1338</v>
      </c>
      <c r="FC87" s="174" t="s">
        <v>671</v>
      </c>
      <c r="FD87" s="174" t="s">
        <v>491</v>
      </c>
      <c r="FE87" s="174" t="s">
        <v>487</v>
      </c>
      <c r="FF87" s="174" t="s">
        <v>487</v>
      </c>
      <c r="FG87" s="174" t="s">
        <v>491</v>
      </c>
      <c r="FH87" s="174" t="s">
        <v>530</v>
      </c>
      <c r="FI87" s="174" t="s">
        <v>536</v>
      </c>
      <c r="FJ87" s="174" t="s">
        <v>681</v>
      </c>
      <c r="FK87" s="174" t="s">
        <v>452</v>
      </c>
      <c r="FL87" s="174" t="s">
        <v>491</v>
      </c>
      <c r="FM87" s="174" t="s">
        <v>437</v>
      </c>
      <c r="FO87" s="174" t="s">
        <v>551</v>
      </c>
      <c r="FQ87" s="174" t="s">
        <v>1316</v>
      </c>
      <c r="FR87" s="174" t="s">
        <v>530</v>
      </c>
      <c r="FS87" s="174" t="s">
        <v>530</v>
      </c>
      <c r="FT87" s="174" t="s">
        <v>677</v>
      </c>
      <c r="FU87" s="174" t="s">
        <v>681</v>
      </c>
      <c r="FV87" s="174" t="s">
        <v>4300</v>
      </c>
      <c r="FW87" s="174" t="s">
        <v>566</v>
      </c>
      <c r="FX87" s="174" t="s">
        <v>681</v>
      </c>
      <c r="FY87" s="174" t="s">
        <v>1128</v>
      </c>
      <c r="FZ87" s="174" t="s">
        <v>677</v>
      </c>
      <c r="HA87" s="174">
        <v>18</v>
      </c>
      <c r="HB87" s="197">
        <v>84</v>
      </c>
      <c r="HC87" s="194">
        <v>62</v>
      </c>
      <c r="HD87" s="238">
        <v>87</v>
      </c>
      <c r="HE87" s="236">
        <v>25</v>
      </c>
      <c r="HF87" s="183">
        <v>149</v>
      </c>
      <c r="HG87" s="193">
        <f t="shared" si="116"/>
        <v>144</v>
      </c>
      <c r="HH87" s="192" t="e">
        <f t="shared" si="117"/>
        <v>#REF!</v>
      </c>
      <c r="HI87" s="198">
        <v>25</v>
      </c>
      <c r="HJ87" s="185">
        <v>132</v>
      </c>
      <c r="HK87" s="174">
        <v>85</v>
      </c>
      <c r="HL87" s="174">
        <f t="shared" si="83"/>
        <v>410</v>
      </c>
      <c r="HM87" s="174">
        <f t="shared" si="84"/>
        <v>400</v>
      </c>
      <c r="HN87" s="174">
        <f t="shared" si="85"/>
        <v>325</v>
      </c>
      <c r="HO87" s="174">
        <f t="shared" si="86"/>
        <v>260</v>
      </c>
      <c r="HP87" s="174">
        <f t="shared" si="87"/>
        <v>205</v>
      </c>
      <c r="HQ87" s="174">
        <f t="shared" si="88"/>
        <v>195</v>
      </c>
      <c r="HR87" s="174">
        <f t="shared" si="89"/>
        <v>195</v>
      </c>
      <c r="HS87" s="174">
        <f t="shared" si="90"/>
        <v>185</v>
      </c>
      <c r="HT87" s="174">
        <f t="shared" si="91"/>
        <v>175</v>
      </c>
      <c r="HU87" s="174">
        <f t="shared" si="92"/>
        <v>315</v>
      </c>
      <c r="HV87" s="174">
        <f t="shared" si="93"/>
        <v>195</v>
      </c>
      <c r="HW87" s="174">
        <f t="shared" si="94"/>
        <v>185</v>
      </c>
      <c r="HX87" s="174">
        <f t="shared" si="95"/>
        <v>240</v>
      </c>
      <c r="HY87" s="174">
        <f t="shared" si="96"/>
        <v>175</v>
      </c>
      <c r="HZ87" s="174">
        <f t="shared" si="97"/>
        <v>165</v>
      </c>
      <c r="IA87" s="174">
        <f t="shared" si="98"/>
        <v>155</v>
      </c>
      <c r="IB87" s="174">
        <f t="shared" si="99"/>
        <v>230</v>
      </c>
      <c r="IC87" s="174">
        <f t="shared" si="100"/>
        <v>210</v>
      </c>
      <c r="ID87" s="174">
        <f t="shared" si="101"/>
        <v>145</v>
      </c>
      <c r="IE87" s="174">
        <f t="shared" si="102"/>
        <v>200</v>
      </c>
      <c r="IF87" s="174">
        <f t="shared" si="103"/>
        <v>145</v>
      </c>
      <c r="IG87" s="174">
        <f t="shared" si="104"/>
        <v>125</v>
      </c>
      <c r="IH87" s="174">
        <f t="shared" si="105"/>
        <v>115</v>
      </c>
      <c r="II87" s="174">
        <f t="shared" si="106"/>
        <v>95</v>
      </c>
      <c r="IJ87" s="174">
        <v>87</v>
      </c>
      <c r="IR87" s="174">
        <v>3750000</v>
      </c>
      <c r="IS87" s="174">
        <v>85</v>
      </c>
    </row>
    <row r="88" spans="1:253" ht="13.35" customHeight="1" x14ac:dyDescent="0.2">
      <c r="A88" s="183">
        <f t="shared" si="114"/>
        <v>87</v>
      </c>
      <c r="B88" s="184">
        <f t="shared" si="118"/>
        <v>4</v>
      </c>
      <c r="C88" s="183">
        <f t="shared" si="115"/>
        <v>87</v>
      </c>
      <c r="D88" s="174">
        <v>31</v>
      </c>
      <c r="E88" s="189" t="s">
        <v>627</v>
      </c>
      <c r="AA88" s="174">
        <v>5</v>
      </c>
      <c r="AB88" s="174">
        <v>5</v>
      </c>
      <c r="AT88" s="174">
        <v>5</v>
      </c>
      <c r="AW88" s="174">
        <v>10</v>
      </c>
      <c r="CL88" s="174">
        <v>5</v>
      </c>
      <c r="CU88" s="174">
        <v>10</v>
      </c>
      <c r="DH88" s="174">
        <v>18</v>
      </c>
      <c r="DI88" s="174" t="s">
        <v>1322</v>
      </c>
      <c r="DJ88" s="174">
        <v>-20</v>
      </c>
      <c r="DK88" s="174">
        <v>-110</v>
      </c>
      <c r="DL88" s="174">
        <v>10</v>
      </c>
      <c r="DM88" s="174">
        <v>20</v>
      </c>
      <c r="DN88" s="174">
        <v>4</v>
      </c>
      <c r="DQ88" s="174">
        <v>18</v>
      </c>
      <c r="DR88" s="174" t="s">
        <v>1322</v>
      </c>
      <c r="DS88" s="205">
        <v>-8</v>
      </c>
      <c r="DT88" s="174">
        <v>-85</v>
      </c>
      <c r="DU88" s="174">
        <v>0</v>
      </c>
      <c r="DV88" s="174">
        <v>-8</v>
      </c>
      <c r="DW88" s="174">
        <v>4</v>
      </c>
      <c r="EE88" s="203">
        <v>0.89220000000000055</v>
      </c>
      <c r="EF88" s="174">
        <v>-30</v>
      </c>
      <c r="EH88" s="174">
        <v>18.001000000000001</v>
      </c>
      <c r="EI88" s="174">
        <v>-144</v>
      </c>
      <c r="EO88" s="174" t="s">
        <v>4232</v>
      </c>
      <c r="EP88" s="174" t="s">
        <v>173</v>
      </c>
      <c r="EQ88" s="174" t="s">
        <v>4070</v>
      </c>
      <c r="ER88" s="174" t="s">
        <v>1128</v>
      </c>
      <c r="ES88" s="174" t="s">
        <v>1128</v>
      </c>
      <c r="ET88" s="174" t="s">
        <v>1137</v>
      </c>
      <c r="EU88" s="174" t="s">
        <v>4333</v>
      </c>
      <c r="EV88" s="174" t="s">
        <v>551</v>
      </c>
      <c r="EW88" s="174" t="s">
        <v>420</v>
      </c>
      <c r="EX88" s="174" t="s">
        <v>1324</v>
      </c>
      <c r="EY88" s="174" t="s">
        <v>530</v>
      </c>
      <c r="EZ88" s="174" t="s">
        <v>681</v>
      </c>
      <c r="FA88" s="174" t="s">
        <v>1349</v>
      </c>
      <c r="FB88" s="174" t="s">
        <v>1132</v>
      </c>
      <c r="FC88" s="174" t="s">
        <v>553</v>
      </c>
      <c r="FD88" s="174" t="s">
        <v>1124</v>
      </c>
      <c r="FE88" s="174" t="s">
        <v>671</v>
      </c>
      <c r="FF88" s="174" t="s">
        <v>671</v>
      </c>
      <c r="FG88" s="174" t="s">
        <v>1179</v>
      </c>
      <c r="FH88" s="174" t="s">
        <v>1124</v>
      </c>
      <c r="FI88" s="174" t="s">
        <v>449</v>
      </c>
      <c r="FJ88" s="174" t="s">
        <v>530</v>
      </c>
      <c r="FK88" s="174" t="s">
        <v>491</v>
      </c>
      <c r="FL88" s="174" t="s">
        <v>1179</v>
      </c>
      <c r="FM88" s="174" t="s">
        <v>1128</v>
      </c>
      <c r="FO88" s="174" t="s">
        <v>1135</v>
      </c>
      <c r="FQ88" s="174" t="s">
        <v>681</v>
      </c>
      <c r="FR88" s="174" t="s">
        <v>1124</v>
      </c>
      <c r="FS88" s="174" t="s">
        <v>173</v>
      </c>
      <c r="FT88" s="174" t="s">
        <v>1387</v>
      </c>
      <c r="FU88" s="174" t="s">
        <v>530</v>
      </c>
      <c r="FV88" s="174" t="s">
        <v>487</v>
      </c>
      <c r="FW88" s="174" t="s">
        <v>433</v>
      </c>
      <c r="FX88" s="174" t="s">
        <v>530</v>
      </c>
      <c r="FY88" s="174" t="s">
        <v>1135</v>
      </c>
      <c r="FZ88" s="174" t="s">
        <v>491</v>
      </c>
      <c r="HA88" s="174">
        <v>19</v>
      </c>
      <c r="HB88" s="197">
        <v>85</v>
      </c>
      <c r="HC88" s="194">
        <v>63</v>
      </c>
      <c r="HD88" s="238">
        <v>88</v>
      </c>
      <c r="HE88" s="236">
        <v>25</v>
      </c>
      <c r="HF88" s="183">
        <v>150</v>
      </c>
      <c r="HG88" s="193">
        <f t="shared" si="116"/>
        <v>145</v>
      </c>
      <c r="HH88" s="192" t="e">
        <f t="shared" si="117"/>
        <v>#REF!</v>
      </c>
      <c r="HI88" s="198">
        <v>25</v>
      </c>
      <c r="HJ88" s="185">
        <v>132.5</v>
      </c>
      <c r="HK88" s="174">
        <v>86</v>
      </c>
      <c r="HL88" s="174">
        <f t="shared" si="83"/>
        <v>414</v>
      </c>
      <c r="HM88" s="174">
        <f t="shared" si="84"/>
        <v>404</v>
      </c>
      <c r="HN88" s="174">
        <f t="shared" si="85"/>
        <v>328</v>
      </c>
      <c r="HO88" s="174">
        <f t="shared" si="86"/>
        <v>262</v>
      </c>
      <c r="HP88" s="174">
        <f t="shared" si="87"/>
        <v>206</v>
      </c>
      <c r="HQ88" s="174">
        <f t="shared" si="88"/>
        <v>196</v>
      </c>
      <c r="HR88" s="174">
        <f t="shared" si="89"/>
        <v>196</v>
      </c>
      <c r="HS88" s="174">
        <f t="shared" si="90"/>
        <v>186</v>
      </c>
      <c r="HT88" s="174">
        <f t="shared" si="91"/>
        <v>176</v>
      </c>
      <c r="HU88" s="174">
        <f t="shared" si="92"/>
        <v>318</v>
      </c>
      <c r="HV88" s="174">
        <f t="shared" si="93"/>
        <v>196</v>
      </c>
      <c r="HW88" s="174">
        <f t="shared" si="94"/>
        <v>186</v>
      </c>
      <c r="HX88" s="174">
        <f t="shared" si="95"/>
        <v>242</v>
      </c>
      <c r="HY88" s="174">
        <f t="shared" si="96"/>
        <v>176</v>
      </c>
      <c r="HZ88" s="174">
        <f t="shared" si="97"/>
        <v>166</v>
      </c>
      <c r="IA88" s="174">
        <f t="shared" si="98"/>
        <v>156</v>
      </c>
      <c r="IB88" s="174">
        <f t="shared" si="99"/>
        <v>232</v>
      </c>
      <c r="IC88" s="174">
        <f t="shared" si="100"/>
        <v>212</v>
      </c>
      <c r="ID88" s="174">
        <f t="shared" si="101"/>
        <v>146</v>
      </c>
      <c r="IE88" s="174">
        <f t="shared" si="102"/>
        <v>202</v>
      </c>
      <c r="IF88" s="174">
        <f t="shared" si="103"/>
        <v>146</v>
      </c>
      <c r="IG88" s="174">
        <f t="shared" si="104"/>
        <v>126</v>
      </c>
      <c r="IH88" s="174">
        <f t="shared" si="105"/>
        <v>116</v>
      </c>
      <c r="II88" s="174">
        <f t="shared" si="106"/>
        <v>96</v>
      </c>
      <c r="IJ88" s="174">
        <v>88</v>
      </c>
      <c r="IR88" s="174">
        <v>3800000</v>
      </c>
      <c r="IS88" s="174">
        <v>86</v>
      </c>
    </row>
    <row r="89" spans="1:253" ht="13.35" customHeight="1" x14ac:dyDescent="0.2">
      <c r="A89" s="183">
        <f t="shared" si="114"/>
        <v>88</v>
      </c>
      <c r="B89" s="184">
        <f t="shared" si="118"/>
        <v>4</v>
      </c>
      <c r="C89" s="183">
        <f t="shared" si="115"/>
        <v>88</v>
      </c>
      <c r="D89" s="174">
        <v>32</v>
      </c>
      <c r="E89" s="189" t="s">
        <v>1061</v>
      </c>
      <c r="AA89" s="174">
        <v>5</v>
      </c>
      <c r="AB89" s="174">
        <v>5</v>
      </c>
      <c r="AW89" s="174">
        <v>10</v>
      </c>
      <c r="CL89" s="174">
        <v>5</v>
      </c>
      <c r="CU89" s="174">
        <v>10</v>
      </c>
      <c r="DH89" s="174">
        <v>19</v>
      </c>
      <c r="DI89" s="174" t="s">
        <v>1325</v>
      </c>
      <c r="DJ89" s="174">
        <v>-35</v>
      </c>
      <c r="DK89" s="174">
        <v>-150</v>
      </c>
      <c r="DL89" s="174">
        <v>30</v>
      </c>
      <c r="DM89" s="174">
        <v>30</v>
      </c>
      <c r="DN89" s="174">
        <v>4</v>
      </c>
      <c r="DQ89" s="174">
        <v>19</v>
      </c>
      <c r="DR89" s="174" t="s">
        <v>1325</v>
      </c>
      <c r="DS89" s="205">
        <v>-21</v>
      </c>
      <c r="DT89" s="174">
        <v>-119</v>
      </c>
      <c r="DU89" s="174">
        <v>17</v>
      </c>
      <c r="DV89" s="174">
        <v>17</v>
      </c>
      <c r="DW89" s="174">
        <v>4</v>
      </c>
      <c r="EE89" s="203">
        <v>0.91760000000000086</v>
      </c>
      <c r="EF89" s="174">
        <v>-30</v>
      </c>
      <c r="EH89" s="174">
        <v>19.001000000000001</v>
      </c>
      <c r="EI89" s="174">
        <v>-152</v>
      </c>
      <c r="EO89" s="174" t="s">
        <v>4233</v>
      </c>
      <c r="EP89" s="174" t="s">
        <v>4070</v>
      </c>
      <c r="EQ89" s="174" t="s">
        <v>554</v>
      </c>
      <c r="ER89" s="174" t="s">
        <v>1135</v>
      </c>
      <c r="ES89" s="174" t="s">
        <v>1135</v>
      </c>
      <c r="ET89" s="174" t="s">
        <v>1128</v>
      </c>
      <c r="EV89" s="174" t="s">
        <v>650</v>
      </c>
      <c r="EW89" s="174" t="s">
        <v>553</v>
      </c>
      <c r="EX89" s="174" t="s">
        <v>1129</v>
      </c>
      <c r="EY89" s="174" t="s">
        <v>561</v>
      </c>
      <c r="EZ89" s="174" t="s">
        <v>530</v>
      </c>
      <c r="FA89" s="174" t="s">
        <v>1132</v>
      </c>
      <c r="FB89" s="174" t="s">
        <v>4249</v>
      </c>
      <c r="FC89" s="174" t="s">
        <v>1338</v>
      </c>
      <c r="FE89" s="174" t="s">
        <v>1326</v>
      </c>
      <c r="FF89" s="174" t="s">
        <v>1326</v>
      </c>
      <c r="FG89" s="174" t="s">
        <v>616</v>
      </c>
      <c r="FH89" s="174" t="s">
        <v>682</v>
      </c>
      <c r="FI89" s="174" t="s">
        <v>677</v>
      </c>
      <c r="FJ89" s="174" t="s">
        <v>173</v>
      </c>
      <c r="FK89" s="174" t="s">
        <v>1179</v>
      </c>
      <c r="FL89" s="174" t="s">
        <v>616</v>
      </c>
      <c r="FM89" s="174" t="s">
        <v>487</v>
      </c>
      <c r="FO89" s="174" t="s">
        <v>1308</v>
      </c>
      <c r="FQ89" s="174" t="s">
        <v>530</v>
      </c>
      <c r="FR89" s="174" t="s">
        <v>682</v>
      </c>
      <c r="FS89" s="174" t="s">
        <v>1128</v>
      </c>
      <c r="FT89" s="174" t="s">
        <v>616</v>
      </c>
      <c r="FU89" s="174" t="s">
        <v>173</v>
      </c>
      <c r="FV89" s="174" t="s">
        <v>1387</v>
      </c>
      <c r="FW89" s="174" t="s">
        <v>524</v>
      </c>
      <c r="FX89" s="174" t="s">
        <v>173</v>
      </c>
      <c r="FY89" s="174" t="s">
        <v>671</v>
      </c>
      <c r="FZ89" s="174" t="s">
        <v>678</v>
      </c>
      <c r="HA89" s="174">
        <v>20</v>
      </c>
      <c r="HB89" s="197">
        <v>86</v>
      </c>
      <c r="HC89" s="194">
        <v>63</v>
      </c>
      <c r="HD89" s="238">
        <v>88</v>
      </c>
      <c r="HE89" s="236">
        <v>25</v>
      </c>
      <c r="HF89" s="183">
        <v>151</v>
      </c>
      <c r="HG89" s="193">
        <f t="shared" si="116"/>
        <v>146</v>
      </c>
      <c r="HH89" s="192" t="e">
        <f t="shared" si="117"/>
        <v>#REF!</v>
      </c>
      <c r="HI89" s="198">
        <v>25</v>
      </c>
      <c r="HJ89" s="185">
        <v>133</v>
      </c>
      <c r="HK89" s="174">
        <v>87</v>
      </c>
      <c r="HL89" s="174">
        <f t="shared" si="83"/>
        <v>418</v>
      </c>
      <c r="HM89" s="174">
        <f t="shared" si="84"/>
        <v>408</v>
      </c>
      <c r="HN89" s="174">
        <f t="shared" si="85"/>
        <v>331</v>
      </c>
      <c r="HO89" s="174">
        <f t="shared" si="86"/>
        <v>264</v>
      </c>
      <c r="HP89" s="174">
        <f t="shared" si="87"/>
        <v>207</v>
      </c>
      <c r="HQ89" s="174">
        <f t="shared" si="88"/>
        <v>197</v>
      </c>
      <c r="HR89" s="174">
        <f t="shared" si="89"/>
        <v>197</v>
      </c>
      <c r="HS89" s="174">
        <f t="shared" si="90"/>
        <v>187</v>
      </c>
      <c r="HT89" s="174">
        <f t="shared" si="91"/>
        <v>177</v>
      </c>
      <c r="HU89" s="174">
        <f t="shared" si="92"/>
        <v>321</v>
      </c>
      <c r="HV89" s="174">
        <f t="shared" si="93"/>
        <v>197</v>
      </c>
      <c r="HW89" s="174">
        <f t="shared" si="94"/>
        <v>187</v>
      </c>
      <c r="HX89" s="174">
        <f t="shared" si="95"/>
        <v>244</v>
      </c>
      <c r="HY89" s="174">
        <f t="shared" si="96"/>
        <v>177</v>
      </c>
      <c r="HZ89" s="174">
        <f t="shared" si="97"/>
        <v>167</v>
      </c>
      <c r="IA89" s="174">
        <f t="shared" si="98"/>
        <v>157</v>
      </c>
      <c r="IB89" s="174">
        <f t="shared" si="99"/>
        <v>234</v>
      </c>
      <c r="IC89" s="174">
        <f t="shared" si="100"/>
        <v>214</v>
      </c>
      <c r="ID89" s="174">
        <f t="shared" si="101"/>
        <v>147</v>
      </c>
      <c r="IE89" s="174">
        <f t="shared" si="102"/>
        <v>204</v>
      </c>
      <c r="IF89" s="174">
        <f t="shared" si="103"/>
        <v>147</v>
      </c>
      <c r="IG89" s="174">
        <f t="shared" si="104"/>
        <v>127</v>
      </c>
      <c r="IH89" s="174">
        <f t="shared" si="105"/>
        <v>117</v>
      </c>
      <c r="II89" s="174">
        <f t="shared" si="106"/>
        <v>97</v>
      </c>
      <c r="IJ89" s="174">
        <v>89</v>
      </c>
      <c r="IR89" s="174">
        <v>3850000</v>
      </c>
      <c r="IS89" s="174">
        <v>87</v>
      </c>
    </row>
    <row r="90" spans="1:253" ht="13.35" customHeight="1" x14ac:dyDescent="0.2">
      <c r="A90" s="183">
        <f t="shared" si="114"/>
        <v>89</v>
      </c>
      <c r="B90" s="184">
        <f t="shared" si="118"/>
        <v>4</v>
      </c>
      <c r="C90" s="183">
        <f t="shared" si="115"/>
        <v>89</v>
      </c>
      <c r="D90" s="174">
        <v>33</v>
      </c>
      <c r="E90" s="189" t="s">
        <v>637</v>
      </c>
      <c r="G90" s="174">
        <v>5</v>
      </c>
      <c r="I90" s="174">
        <v>15</v>
      </c>
      <c r="J90" s="174">
        <v>5</v>
      </c>
      <c r="O90" s="174">
        <v>5</v>
      </c>
      <c r="P90" s="174">
        <v>10</v>
      </c>
      <c r="Q90" s="174">
        <v>10</v>
      </c>
      <c r="R90" s="174">
        <v>5</v>
      </c>
      <c r="V90" s="174">
        <v>10</v>
      </c>
      <c r="X90" s="174">
        <v>5</v>
      </c>
      <c r="Y90" s="174">
        <v>10</v>
      </c>
      <c r="AC90" s="174">
        <v>5</v>
      </c>
      <c r="AK90" s="174">
        <v>5</v>
      </c>
      <c r="AL90" s="174">
        <v>5</v>
      </c>
      <c r="AM90" s="174">
        <v>5</v>
      </c>
      <c r="AP90" s="174">
        <v>5</v>
      </c>
      <c r="AQ90" s="174">
        <v>5</v>
      </c>
      <c r="AY90" s="174">
        <v>5</v>
      </c>
      <c r="BL90" s="174">
        <v>5</v>
      </c>
      <c r="BR90" s="174">
        <v>5</v>
      </c>
      <c r="DD90" s="174">
        <v>5</v>
      </c>
      <c r="DH90" s="174">
        <v>20</v>
      </c>
      <c r="DI90" s="174" t="s">
        <v>1329</v>
      </c>
      <c r="DJ90" s="174">
        <v>-45</v>
      </c>
      <c r="DK90" s="174">
        <v>-165</v>
      </c>
      <c r="DL90" s="174">
        <v>40</v>
      </c>
      <c r="DM90" s="174">
        <v>40</v>
      </c>
      <c r="DN90" s="174">
        <v>4</v>
      </c>
      <c r="DQ90" s="174">
        <v>20</v>
      </c>
      <c r="DR90" s="174" t="s">
        <v>1329</v>
      </c>
      <c r="DS90" s="205">
        <v>-30</v>
      </c>
      <c r="DT90" s="174">
        <v>-131</v>
      </c>
      <c r="DU90" s="174">
        <v>25</v>
      </c>
      <c r="DV90" s="205">
        <v>25</v>
      </c>
      <c r="DW90" s="174">
        <v>4</v>
      </c>
      <c r="EE90" s="203">
        <v>0.94300000000000084</v>
      </c>
      <c r="EF90" s="174">
        <v>-30</v>
      </c>
      <c r="EH90" s="174">
        <v>20.001000000000001</v>
      </c>
      <c r="EI90" s="174">
        <v>-160</v>
      </c>
      <c r="EO90" s="174" t="s">
        <v>4239</v>
      </c>
      <c r="ER90" s="174" t="s">
        <v>671</v>
      </c>
      <c r="ES90" s="174" t="s">
        <v>671</v>
      </c>
      <c r="ET90" s="174" t="s">
        <v>1135</v>
      </c>
      <c r="EV90" s="174" t="s">
        <v>1129</v>
      </c>
      <c r="EW90" s="174" t="s">
        <v>621</v>
      </c>
      <c r="EX90" s="174" t="s">
        <v>420</v>
      </c>
      <c r="EY90" s="174" t="s">
        <v>1124</v>
      </c>
      <c r="EZ90" s="174" t="s">
        <v>561</v>
      </c>
      <c r="FA90" s="174" t="s">
        <v>1349</v>
      </c>
      <c r="FB90" s="174" t="s">
        <v>427</v>
      </c>
      <c r="FC90" s="174" t="s">
        <v>1144</v>
      </c>
      <c r="FD90" s="174" t="s">
        <v>677</v>
      </c>
      <c r="FE90" s="174" t="s">
        <v>553</v>
      </c>
      <c r="FF90" s="174" t="s">
        <v>553</v>
      </c>
      <c r="FG90" s="174" t="s">
        <v>1141</v>
      </c>
      <c r="FH90" s="174" t="s">
        <v>1127</v>
      </c>
      <c r="FI90" s="174" t="s">
        <v>1307</v>
      </c>
      <c r="FJ90" s="174" t="s">
        <v>1128</v>
      </c>
      <c r="FK90" s="174" t="s">
        <v>616</v>
      </c>
      <c r="FL90" s="174" t="s">
        <v>1141</v>
      </c>
      <c r="FM90" s="174" t="s">
        <v>1129</v>
      </c>
      <c r="FO90" s="174" t="s">
        <v>487</v>
      </c>
      <c r="FQ90" s="174" t="s">
        <v>173</v>
      </c>
      <c r="FR90" s="174" t="s">
        <v>1127</v>
      </c>
      <c r="FS90" s="174" t="s">
        <v>487</v>
      </c>
      <c r="FU90" s="174" t="s">
        <v>1128</v>
      </c>
      <c r="FV90" s="174" t="s">
        <v>530</v>
      </c>
      <c r="FW90" s="174" t="s">
        <v>677</v>
      </c>
      <c r="FX90" s="174" t="s">
        <v>1128</v>
      </c>
      <c r="FY90" s="174" t="s">
        <v>1330</v>
      </c>
      <c r="FZ90" s="174" t="s">
        <v>1179</v>
      </c>
      <c r="HA90" s="174">
        <v>21</v>
      </c>
      <c r="HB90" s="197">
        <v>87</v>
      </c>
      <c r="HC90" s="194">
        <v>64</v>
      </c>
      <c r="HD90" s="238">
        <v>89</v>
      </c>
      <c r="HE90" s="236">
        <v>25</v>
      </c>
      <c r="HF90" s="183">
        <v>152</v>
      </c>
      <c r="HG90" s="193">
        <f t="shared" si="116"/>
        <v>147</v>
      </c>
      <c r="HH90" s="192" t="e">
        <f t="shared" si="117"/>
        <v>#REF!</v>
      </c>
      <c r="HI90" s="198">
        <v>25</v>
      </c>
      <c r="HJ90" s="185">
        <v>133.5</v>
      </c>
      <c r="HK90" s="174">
        <v>88</v>
      </c>
      <c r="HL90" s="174">
        <f t="shared" si="83"/>
        <v>422</v>
      </c>
      <c r="HM90" s="174">
        <f t="shared" si="84"/>
        <v>412</v>
      </c>
      <c r="HN90" s="174">
        <f t="shared" si="85"/>
        <v>334</v>
      </c>
      <c r="HO90" s="174">
        <f t="shared" si="86"/>
        <v>266</v>
      </c>
      <c r="HP90" s="174">
        <f t="shared" si="87"/>
        <v>208</v>
      </c>
      <c r="HQ90" s="174">
        <f t="shared" si="88"/>
        <v>198</v>
      </c>
      <c r="HR90" s="174">
        <f t="shared" si="89"/>
        <v>198</v>
      </c>
      <c r="HS90" s="174">
        <f t="shared" si="90"/>
        <v>188</v>
      </c>
      <c r="HT90" s="174">
        <f t="shared" si="91"/>
        <v>178</v>
      </c>
      <c r="HU90" s="174">
        <f t="shared" si="92"/>
        <v>324</v>
      </c>
      <c r="HV90" s="174">
        <f t="shared" si="93"/>
        <v>198</v>
      </c>
      <c r="HW90" s="174">
        <f t="shared" si="94"/>
        <v>188</v>
      </c>
      <c r="HX90" s="174">
        <f t="shared" si="95"/>
        <v>246</v>
      </c>
      <c r="HY90" s="174">
        <f t="shared" si="96"/>
        <v>178</v>
      </c>
      <c r="HZ90" s="174">
        <f t="shared" si="97"/>
        <v>168</v>
      </c>
      <c r="IA90" s="174">
        <f t="shared" si="98"/>
        <v>158</v>
      </c>
      <c r="IB90" s="174">
        <f t="shared" si="99"/>
        <v>236</v>
      </c>
      <c r="IC90" s="174">
        <f t="shared" si="100"/>
        <v>216</v>
      </c>
      <c r="ID90" s="174">
        <f t="shared" si="101"/>
        <v>148</v>
      </c>
      <c r="IE90" s="174">
        <f t="shared" si="102"/>
        <v>206</v>
      </c>
      <c r="IF90" s="174">
        <f t="shared" si="103"/>
        <v>148</v>
      </c>
      <c r="IG90" s="174">
        <f t="shared" si="104"/>
        <v>128</v>
      </c>
      <c r="IH90" s="174">
        <f t="shared" si="105"/>
        <v>118</v>
      </c>
      <c r="II90" s="174">
        <f t="shared" si="106"/>
        <v>98</v>
      </c>
      <c r="IJ90" s="174">
        <v>90</v>
      </c>
      <c r="IR90" s="174">
        <v>3900000</v>
      </c>
      <c r="IS90" s="174">
        <v>88</v>
      </c>
    </row>
    <row r="91" spans="1:253" ht="13.35" customHeight="1" x14ac:dyDescent="0.2">
      <c r="A91" s="183">
        <f t="shared" si="114"/>
        <v>90</v>
      </c>
      <c r="B91" s="184">
        <f t="shared" ref="B91:B101" si="119">ROUND((A91-81)/2,0)</f>
        <v>5</v>
      </c>
      <c r="C91" s="183">
        <f t="shared" si="115"/>
        <v>90</v>
      </c>
      <c r="D91" s="174">
        <v>34</v>
      </c>
      <c r="E91" s="189" t="s">
        <v>654</v>
      </c>
      <c r="EE91" s="203">
        <v>0.96840000000000082</v>
      </c>
      <c r="EF91" s="174">
        <v>-30</v>
      </c>
      <c r="EH91" s="174">
        <v>21.001000000000001</v>
      </c>
      <c r="EI91" s="174">
        <v>-168</v>
      </c>
      <c r="EO91" s="174" t="s">
        <v>4326</v>
      </c>
      <c r="EP91" s="174" t="s">
        <v>450</v>
      </c>
      <c r="EQ91" s="174" t="s">
        <v>677</v>
      </c>
      <c r="ER91" s="174" t="s">
        <v>553</v>
      </c>
      <c r="ES91" s="174" t="s">
        <v>553</v>
      </c>
      <c r="ET91" s="174" t="s">
        <v>671</v>
      </c>
      <c r="EV91" s="174" t="s">
        <v>1332</v>
      </c>
      <c r="EW91" s="174" t="s">
        <v>536</v>
      </c>
      <c r="EX91" s="174" t="s">
        <v>553</v>
      </c>
      <c r="EY91" s="174" t="s">
        <v>675</v>
      </c>
      <c r="EZ91" s="174" t="s">
        <v>1124</v>
      </c>
      <c r="FA91" s="174" t="s">
        <v>1132</v>
      </c>
      <c r="FB91" s="174" t="s">
        <v>1129</v>
      </c>
      <c r="FC91" s="174" t="s">
        <v>1349</v>
      </c>
      <c r="FD91" s="174" t="s">
        <v>1307</v>
      </c>
      <c r="FE91" s="174" t="s">
        <v>1334</v>
      </c>
      <c r="FF91" s="174" t="s">
        <v>1334</v>
      </c>
      <c r="FH91" s="174" t="s">
        <v>675</v>
      </c>
      <c r="FI91" s="174" t="s">
        <v>452</v>
      </c>
      <c r="FJ91" s="174" t="s">
        <v>1135</v>
      </c>
      <c r="FK91" s="174" t="s">
        <v>1141</v>
      </c>
      <c r="FL91" s="174" t="s">
        <v>4275</v>
      </c>
      <c r="FM91" s="174" t="s">
        <v>420</v>
      </c>
      <c r="FO91" s="174" t="s">
        <v>429</v>
      </c>
      <c r="FQ91" s="174" t="s">
        <v>1128</v>
      </c>
      <c r="FR91" s="174" t="s">
        <v>675</v>
      </c>
      <c r="FS91" s="174" t="s">
        <v>429</v>
      </c>
      <c r="FU91" s="174" t="s">
        <v>1135</v>
      </c>
      <c r="FV91" s="174" t="s">
        <v>527</v>
      </c>
      <c r="FW91" s="174" t="s">
        <v>1146</v>
      </c>
      <c r="FX91" s="174" t="s">
        <v>1135</v>
      </c>
      <c r="FY91" s="174" t="s">
        <v>469</v>
      </c>
      <c r="FZ91" s="174" t="s">
        <v>1349</v>
      </c>
      <c r="HA91" s="174">
        <v>22</v>
      </c>
      <c r="HB91" s="197">
        <v>88</v>
      </c>
      <c r="HC91" s="194">
        <v>64</v>
      </c>
      <c r="HD91" s="238">
        <v>89</v>
      </c>
      <c r="HE91" s="236">
        <v>25</v>
      </c>
      <c r="HF91" s="183">
        <v>153</v>
      </c>
      <c r="HG91" s="193">
        <f t="shared" si="116"/>
        <v>148</v>
      </c>
      <c r="HH91" s="192" t="e">
        <f t="shared" si="117"/>
        <v>#REF!</v>
      </c>
      <c r="HI91" s="198">
        <v>25</v>
      </c>
      <c r="HJ91" s="185">
        <v>134</v>
      </c>
      <c r="HK91" s="174">
        <v>89</v>
      </c>
      <c r="HL91" s="174">
        <f t="shared" si="83"/>
        <v>426</v>
      </c>
      <c r="HM91" s="174">
        <f t="shared" si="84"/>
        <v>416</v>
      </c>
      <c r="HN91" s="174">
        <f t="shared" si="85"/>
        <v>337</v>
      </c>
      <c r="HO91" s="174">
        <f t="shared" si="86"/>
        <v>268</v>
      </c>
      <c r="HP91" s="174">
        <f t="shared" si="87"/>
        <v>209</v>
      </c>
      <c r="HQ91" s="174">
        <f t="shared" si="88"/>
        <v>199</v>
      </c>
      <c r="HR91" s="174">
        <f t="shared" si="89"/>
        <v>199</v>
      </c>
      <c r="HS91" s="174">
        <f t="shared" si="90"/>
        <v>189</v>
      </c>
      <c r="HT91" s="174">
        <f t="shared" si="91"/>
        <v>179</v>
      </c>
      <c r="HU91" s="174">
        <f t="shared" si="92"/>
        <v>327</v>
      </c>
      <c r="HV91" s="174">
        <f t="shared" si="93"/>
        <v>199</v>
      </c>
      <c r="HW91" s="174">
        <f t="shared" si="94"/>
        <v>189</v>
      </c>
      <c r="HX91" s="174">
        <f t="shared" si="95"/>
        <v>248</v>
      </c>
      <c r="HY91" s="174">
        <f t="shared" si="96"/>
        <v>179</v>
      </c>
      <c r="HZ91" s="174">
        <f t="shared" si="97"/>
        <v>169</v>
      </c>
      <c r="IA91" s="174">
        <f t="shared" si="98"/>
        <v>159</v>
      </c>
      <c r="IB91" s="174">
        <f t="shared" si="99"/>
        <v>238</v>
      </c>
      <c r="IC91" s="174">
        <f t="shared" si="100"/>
        <v>218</v>
      </c>
      <c r="ID91" s="174">
        <f t="shared" si="101"/>
        <v>149</v>
      </c>
      <c r="IE91" s="174">
        <f t="shared" si="102"/>
        <v>208</v>
      </c>
      <c r="IF91" s="174">
        <f t="shared" si="103"/>
        <v>149</v>
      </c>
      <c r="IG91" s="174">
        <f t="shared" si="104"/>
        <v>129</v>
      </c>
      <c r="IH91" s="174">
        <f t="shared" si="105"/>
        <v>119</v>
      </c>
      <c r="II91" s="174">
        <f t="shared" si="106"/>
        <v>99</v>
      </c>
      <c r="IJ91" s="174">
        <v>91</v>
      </c>
      <c r="IR91" s="174">
        <v>3950000</v>
      </c>
      <c r="IS91" s="174">
        <v>89</v>
      </c>
    </row>
    <row r="92" spans="1:253" ht="13.35" customHeight="1" x14ac:dyDescent="0.2">
      <c r="A92" s="183">
        <f t="shared" si="114"/>
        <v>91</v>
      </c>
      <c r="B92" s="184">
        <f t="shared" si="119"/>
        <v>5</v>
      </c>
      <c r="C92" s="183">
        <f t="shared" ref="C92:C123" si="120">90+(A92-90)^2</f>
        <v>91</v>
      </c>
      <c r="D92" s="174">
        <v>35</v>
      </c>
      <c r="E92" s="189" t="s">
        <v>657</v>
      </c>
      <c r="DH92" s="174" t="s">
        <v>1336</v>
      </c>
      <c r="DI92" s="174" t="s">
        <v>1337</v>
      </c>
      <c r="DK92" s="174" t="s">
        <v>1336</v>
      </c>
      <c r="DS92" s="174" t="s">
        <v>1336</v>
      </c>
      <c r="DT92" s="174" t="s">
        <v>1337</v>
      </c>
      <c r="DV92" s="174" t="s">
        <v>1336</v>
      </c>
      <c r="EE92" s="203">
        <v>0.99380000000000102</v>
      </c>
      <c r="EF92" s="174">
        <v>-30</v>
      </c>
      <c r="EH92" s="174">
        <v>22.001000000000001</v>
      </c>
      <c r="EI92" s="174">
        <v>-176</v>
      </c>
      <c r="EO92" s="234" t="s">
        <v>4327</v>
      </c>
      <c r="EP92" s="174" t="s">
        <v>677</v>
      </c>
      <c r="EQ92" s="174" t="s">
        <v>4071</v>
      </c>
      <c r="ER92" s="174" t="s">
        <v>1338</v>
      </c>
      <c r="ES92" s="174" t="s">
        <v>1338</v>
      </c>
      <c r="ET92" s="174" t="s">
        <v>553</v>
      </c>
      <c r="EV92" s="174" t="s">
        <v>553</v>
      </c>
      <c r="EW92" s="174" t="s">
        <v>433</v>
      </c>
      <c r="EX92" s="174" t="s">
        <v>621</v>
      </c>
      <c r="EY92" s="174" t="s">
        <v>1128</v>
      </c>
      <c r="EZ92" s="174" t="s">
        <v>675</v>
      </c>
      <c r="FA92" s="174" t="s">
        <v>494</v>
      </c>
      <c r="FB92" s="174" t="s">
        <v>422</v>
      </c>
      <c r="FC92" s="234" t="s">
        <v>4329</v>
      </c>
      <c r="FD92" s="174" t="s">
        <v>423</v>
      </c>
      <c r="FE92" s="174" t="s">
        <v>536</v>
      </c>
      <c r="FF92" s="174" t="s">
        <v>536</v>
      </c>
      <c r="FH92" s="174" t="s">
        <v>1340</v>
      </c>
      <c r="FI92" s="174" t="s">
        <v>555</v>
      </c>
      <c r="FJ92" s="174" t="s">
        <v>487</v>
      </c>
      <c r="FK92" s="174" t="s">
        <v>696</v>
      </c>
      <c r="FL92" s="174" t="s">
        <v>1139</v>
      </c>
      <c r="FM92" s="174" t="s">
        <v>553</v>
      </c>
      <c r="FO92" s="174" t="s">
        <v>553</v>
      </c>
      <c r="FQ92" s="174" t="s">
        <v>1135</v>
      </c>
      <c r="FR92" s="174" t="s">
        <v>1128</v>
      </c>
      <c r="FS92" s="174" t="s">
        <v>671</v>
      </c>
      <c r="FU92" s="174" t="s">
        <v>487</v>
      </c>
      <c r="FV92" s="174" t="s">
        <v>506</v>
      </c>
      <c r="FW92" s="174" t="s">
        <v>524</v>
      </c>
      <c r="FX92" s="174" t="s">
        <v>487</v>
      </c>
      <c r="FY92" s="174" t="s">
        <v>566</v>
      </c>
      <c r="FZ92" s="174" t="s">
        <v>4333</v>
      </c>
      <c r="HA92" s="174">
        <v>23</v>
      </c>
      <c r="HB92" s="197">
        <v>89</v>
      </c>
      <c r="HC92" s="194">
        <v>65</v>
      </c>
      <c r="HD92" s="238">
        <v>90</v>
      </c>
      <c r="HE92" s="236">
        <v>25</v>
      </c>
      <c r="HF92" s="183">
        <v>154</v>
      </c>
      <c r="HG92" s="193">
        <f t="shared" si="116"/>
        <v>149</v>
      </c>
      <c r="HH92" s="192" t="e">
        <f t="shared" si="117"/>
        <v>#REF!</v>
      </c>
      <c r="HI92" s="198">
        <v>25</v>
      </c>
      <c r="HJ92" s="185">
        <v>134.5</v>
      </c>
      <c r="HK92" s="182">
        <v>90</v>
      </c>
      <c r="HL92" s="174">
        <f t="shared" si="83"/>
        <v>430</v>
      </c>
      <c r="HM92" s="174">
        <f t="shared" si="84"/>
        <v>420</v>
      </c>
      <c r="HN92" s="174">
        <f t="shared" si="85"/>
        <v>340</v>
      </c>
      <c r="HO92" s="174">
        <f t="shared" si="86"/>
        <v>270</v>
      </c>
      <c r="HP92" s="174">
        <f t="shared" si="87"/>
        <v>210</v>
      </c>
      <c r="HQ92" s="174">
        <f t="shared" si="88"/>
        <v>200</v>
      </c>
      <c r="HR92" s="174">
        <f t="shared" si="89"/>
        <v>200</v>
      </c>
      <c r="HS92" s="174">
        <f t="shared" si="90"/>
        <v>190</v>
      </c>
      <c r="HT92" s="174">
        <f t="shared" si="91"/>
        <v>180</v>
      </c>
      <c r="HU92" s="174">
        <f t="shared" si="92"/>
        <v>330</v>
      </c>
      <c r="HV92" s="174">
        <f t="shared" si="93"/>
        <v>200</v>
      </c>
      <c r="HW92" s="174">
        <f t="shared" si="94"/>
        <v>190</v>
      </c>
      <c r="HX92" s="174">
        <f t="shared" si="95"/>
        <v>250</v>
      </c>
      <c r="HY92" s="174">
        <f t="shared" si="96"/>
        <v>180</v>
      </c>
      <c r="HZ92" s="174">
        <f t="shared" si="97"/>
        <v>170</v>
      </c>
      <c r="IA92" s="174">
        <f t="shared" si="98"/>
        <v>160</v>
      </c>
      <c r="IB92" s="174">
        <f t="shared" si="99"/>
        <v>240</v>
      </c>
      <c r="IC92" s="174">
        <f t="shared" si="100"/>
        <v>220</v>
      </c>
      <c r="ID92" s="174">
        <f t="shared" si="101"/>
        <v>150</v>
      </c>
      <c r="IE92" s="174">
        <f t="shared" si="102"/>
        <v>210</v>
      </c>
      <c r="IF92" s="174">
        <f t="shared" si="103"/>
        <v>150</v>
      </c>
      <c r="IG92" s="174">
        <f t="shared" si="104"/>
        <v>130</v>
      </c>
      <c r="IH92" s="174">
        <f t="shared" si="105"/>
        <v>120</v>
      </c>
      <c r="II92" s="174">
        <f t="shared" si="106"/>
        <v>100</v>
      </c>
      <c r="IJ92" s="182">
        <v>92</v>
      </c>
      <c r="IR92" s="174">
        <v>4000000</v>
      </c>
      <c r="IS92" s="174">
        <v>90</v>
      </c>
    </row>
    <row r="93" spans="1:253" ht="13.35" customHeight="1" x14ac:dyDescent="0.2">
      <c r="A93" s="183">
        <f t="shared" si="114"/>
        <v>92</v>
      </c>
      <c r="B93" s="184">
        <f t="shared" si="119"/>
        <v>6</v>
      </c>
      <c r="C93" s="183">
        <f t="shared" si="120"/>
        <v>94</v>
      </c>
      <c r="D93" s="174">
        <v>36</v>
      </c>
      <c r="E93" s="189" t="s">
        <v>1343</v>
      </c>
      <c r="K93" s="174">
        <v>5</v>
      </c>
      <c r="L93" s="174">
        <v>5</v>
      </c>
      <c r="M93" s="174">
        <v>5</v>
      </c>
      <c r="N93" s="174">
        <v>5</v>
      </c>
      <c r="O93" s="174">
        <v>5</v>
      </c>
      <c r="P93" s="174">
        <v>5</v>
      </c>
      <c r="Q93" s="174">
        <v>5</v>
      </c>
      <c r="R93" s="174">
        <v>5</v>
      </c>
      <c r="S93" s="174">
        <v>5</v>
      </c>
      <c r="AA93" s="174">
        <v>5</v>
      </c>
      <c r="AB93" s="174">
        <v>5</v>
      </c>
      <c r="AD93" s="174">
        <v>5</v>
      </c>
      <c r="AF93" s="174">
        <v>5</v>
      </c>
      <c r="AG93" s="174">
        <v>5</v>
      </c>
      <c r="AK93" s="174">
        <v>5</v>
      </c>
      <c r="AL93" s="174">
        <v>5</v>
      </c>
      <c r="AM93" s="174">
        <v>5</v>
      </c>
      <c r="AO93" s="174">
        <v>5</v>
      </c>
      <c r="AP93" s="174">
        <v>5</v>
      </c>
      <c r="AS93" s="174">
        <v>5</v>
      </c>
      <c r="AT93" s="174">
        <v>5</v>
      </c>
      <c r="AU93" s="174">
        <v>5</v>
      </c>
      <c r="AV93" s="174">
        <v>5</v>
      </c>
      <c r="AW93" s="174">
        <v>5</v>
      </c>
      <c r="AX93" s="174">
        <v>5</v>
      </c>
      <c r="AY93" s="174">
        <v>5</v>
      </c>
      <c r="AZ93" s="174">
        <v>5</v>
      </c>
      <c r="BA93" s="174">
        <v>5</v>
      </c>
      <c r="BB93" s="174">
        <v>5</v>
      </c>
      <c r="BC93" s="174">
        <v>10</v>
      </c>
      <c r="BD93" s="174">
        <v>10</v>
      </c>
      <c r="BE93" s="174">
        <v>10</v>
      </c>
      <c r="BF93" s="174">
        <v>5</v>
      </c>
      <c r="BG93" s="174">
        <v>10</v>
      </c>
      <c r="BH93" s="174">
        <v>5</v>
      </c>
      <c r="BI93" s="174">
        <v>5</v>
      </c>
      <c r="BJ93" s="174">
        <v>5</v>
      </c>
      <c r="BK93" s="174">
        <v>5</v>
      </c>
      <c r="BL93" s="174">
        <v>5</v>
      </c>
      <c r="BM93" s="174">
        <v>5</v>
      </c>
      <c r="BN93" s="174">
        <v>5</v>
      </c>
      <c r="BO93" s="174">
        <v>5</v>
      </c>
      <c r="BP93" s="174">
        <v>5</v>
      </c>
      <c r="BQ93" s="174">
        <v>5</v>
      </c>
      <c r="BR93" s="174">
        <v>10</v>
      </c>
      <c r="BS93" s="174">
        <v>10</v>
      </c>
      <c r="BT93" s="174">
        <v>10</v>
      </c>
      <c r="BU93" s="174">
        <v>5</v>
      </c>
      <c r="BV93" s="174">
        <v>5</v>
      </c>
      <c r="BX93" s="174">
        <v>5</v>
      </c>
      <c r="BY93" s="174">
        <v>5</v>
      </c>
      <c r="BZ93" s="174">
        <v>5</v>
      </c>
      <c r="CA93" s="174">
        <v>5</v>
      </c>
      <c r="CB93" s="174">
        <v>5</v>
      </c>
      <c r="CC93" s="174">
        <v>5</v>
      </c>
      <c r="CD93" s="174">
        <v>5</v>
      </c>
      <c r="CE93" s="174">
        <v>10</v>
      </c>
      <c r="CF93" s="174">
        <v>5</v>
      </c>
      <c r="CG93" s="174">
        <v>5</v>
      </c>
      <c r="CH93" s="174">
        <v>5</v>
      </c>
      <c r="CI93" s="174">
        <v>5</v>
      </c>
      <c r="CJ93" s="174">
        <v>5</v>
      </c>
      <c r="CK93" s="174">
        <v>5</v>
      </c>
      <c r="CL93" s="174">
        <v>5</v>
      </c>
      <c r="CM93" s="174">
        <v>5</v>
      </c>
      <c r="CN93" s="174">
        <v>5</v>
      </c>
      <c r="CO93" s="174">
        <v>5</v>
      </c>
      <c r="CP93" s="174">
        <v>5</v>
      </c>
      <c r="CQ93" s="174">
        <v>5</v>
      </c>
      <c r="CX93" s="174">
        <v>5</v>
      </c>
      <c r="CY93" s="174">
        <v>5</v>
      </c>
      <c r="CZ93" s="174">
        <v>5</v>
      </c>
      <c r="DB93" s="174">
        <v>5</v>
      </c>
      <c r="DC93" s="174">
        <v>5</v>
      </c>
      <c r="DD93" s="174">
        <v>5</v>
      </c>
      <c r="DH93" s="174">
        <v>0</v>
      </c>
      <c r="DI93" s="174">
        <v>0</v>
      </c>
      <c r="DK93" s="174">
        <f>VLOOKUP(Stats!$D$41,$DH$71:$DN$90,7)</f>
        <v>0</v>
      </c>
      <c r="DS93" s="174">
        <v>0</v>
      </c>
      <c r="DT93" s="174">
        <v>0</v>
      </c>
      <c r="DV93" s="174">
        <f>VLOOKUP(Stats!$D$41,$DQ$71:$DW$90,7)</f>
        <v>0</v>
      </c>
      <c r="EE93" s="203">
        <v>1.0192000000000008</v>
      </c>
      <c r="EF93" s="174">
        <v>-25</v>
      </c>
      <c r="EH93" s="174">
        <v>23.001000000000001</v>
      </c>
      <c r="EI93" s="174">
        <v>-184</v>
      </c>
      <c r="EO93" s="174" t="s">
        <v>4333</v>
      </c>
      <c r="EP93" s="174" t="s">
        <v>4071</v>
      </c>
      <c r="EQ93" s="174" t="s">
        <v>452</v>
      </c>
      <c r="ER93" s="174" t="s">
        <v>1144</v>
      </c>
      <c r="ES93" s="174" t="s">
        <v>1144</v>
      </c>
      <c r="ET93" s="174" t="s">
        <v>1338</v>
      </c>
      <c r="EV93" s="174" t="s">
        <v>566</v>
      </c>
      <c r="EW93" s="174" t="s">
        <v>1345</v>
      </c>
      <c r="EX93" s="174" t="s">
        <v>606</v>
      </c>
      <c r="EY93" s="174" t="s">
        <v>650</v>
      </c>
      <c r="EZ93" s="174" t="s">
        <v>173</v>
      </c>
      <c r="FA93" s="174" t="s">
        <v>4333</v>
      </c>
      <c r="FB93" s="174" t="s">
        <v>4333</v>
      </c>
      <c r="FC93" s="174" t="s">
        <v>584</v>
      </c>
      <c r="FD93" s="174" t="s">
        <v>616</v>
      </c>
      <c r="FE93" s="174" t="s">
        <v>449</v>
      </c>
      <c r="FF93" s="174" t="s">
        <v>677</v>
      </c>
      <c r="FH93" s="174" t="s">
        <v>173</v>
      </c>
      <c r="FI93" s="174" t="s">
        <v>1179</v>
      </c>
      <c r="FJ93" s="174" t="s">
        <v>429</v>
      </c>
      <c r="FM93" s="174" t="s">
        <v>1334</v>
      </c>
      <c r="FO93" s="174" t="s">
        <v>469</v>
      </c>
      <c r="FQ93" s="174" t="s">
        <v>487</v>
      </c>
      <c r="FR93" s="174" t="s">
        <v>510</v>
      </c>
      <c r="FS93" s="174" t="s">
        <v>1129</v>
      </c>
      <c r="FU93" s="174" t="s">
        <v>429</v>
      </c>
      <c r="FV93" s="174" t="s">
        <v>494</v>
      </c>
      <c r="FW93" s="174" t="s">
        <v>423</v>
      </c>
      <c r="FX93" s="174" t="s">
        <v>429</v>
      </c>
      <c r="FY93" s="174" t="s">
        <v>1348</v>
      </c>
      <c r="HA93" s="174">
        <v>24</v>
      </c>
      <c r="HB93" s="197">
        <v>90</v>
      </c>
      <c r="HC93" s="194">
        <v>65</v>
      </c>
      <c r="HD93" s="238">
        <v>90</v>
      </c>
      <c r="HE93" s="236">
        <v>25</v>
      </c>
      <c r="HF93" s="183">
        <v>155</v>
      </c>
      <c r="HG93" s="193">
        <f t="shared" si="116"/>
        <v>150</v>
      </c>
      <c r="HH93" s="192" t="e">
        <f t="shared" si="117"/>
        <v>#REF!</v>
      </c>
      <c r="HI93" s="198">
        <v>25</v>
      </c>
      <c r="HJ93" s="185">
        <v>135</v>
      </c>
      <c r="HK93" s="174">
        <v>91</v>
      </c>
      <c r="HL93" s="174">
        <f t="shared" si="83"/>
        <v>434</v>
      </c>
      <c r="HM93" s="174">
        <f t="shared" si="84"/>
        <v>424</v>
      </c>
      <c r="HN93" s="174">
        <f t="shared" si="85"/>
        <v>343</v>
      </c>
      <c r="HO93" s="174">
        <f t="shared" si="86"/>
        <v>272</v>
      </c>
      <c r="HP93" s="174">
        <f t="shared" si="87"/>
        <v>211</v>
      </c>
      <c r="HQ93" s="174">
        <f t="shared" si="88"/>
        <v>201</v>
      </c>
      <c r="HR93" s="174">
        <f t="shared" si="89"/>
        <v>201</v>
      </c>
      <c r="HS93" s="174">
        <f t="shared" si="90"/>
        <v>191</v>
      </c>
      <c r="HT93" s="174">
        <f t="shared" si="91"/>
        <v>181</v>
      </c>
      <c r="HU93" s="174">
        <f t="shared" si="92"/>
        <v>333</v>
      </c>
      <c r="HV93" s="174">
        <f t="shared" si="93"/>
        <v>201</v>
      </c>
      <c r="HW93" s="174">
        <f t="shared" si="94"/>
        <v>191</v>
      </c>
      <c r="HX93" s="174">
        <f t="shared" si="95"/>
        <v>252</v>
      </c>
      <c r="HY93" s="174">
        <f t="shared" si="96"/>
        <v>181</v>
      </c>
      <c r="HZ93" s="174">
        <f t="shared" si="97"/>
        <v>171</v>
      </c>
      <c r="IA93" s="174">
        <f t="shared" si="98"/>
        <v>161</v>
      </c>
      <c r="IB93" s="174">
        <f t="shared" si="99"/>
        <v>242</v>
      </c>
      <c r="IC93" s="174">
        <f t="shared" si="100"/>
        <v>222</v>
      </c>
      <c r="ID93" s="174">
        <f t="shared" si="101"/>
        <v>151</v>
      </c>
      <c r="IE93" s="174">
        <f t="shared" si="102"/>
        <v>212</v>
      </c>
      <c r="IF93" s="174">
        <f t="shared" si="103"/>
        <v>151</v>
      </c>
      <c r="IG93" s="174">
        <f t="shared" si="104"/>
        <v>131</v>
      </c>
      <c r="IH93" s="174">
        <f t="shared" si="105"/>
        <v>121</v>
      </c>
      <c r="II93" s="174">
        <f t="shared" si="106"/>
        <v>101</v>
      </c>
      <c r="IJ93" s="174">
        <v>93</v>
      </c>
      <c r="IR93" s="174">
        <v>4050000</v>
      </c>
      <c r="IS93" s="174">
        <v>91</v>
      </c>
    </row>
    <row r="94" spans="1:253" ht="13.35" customHeight="1" x14ac:dyDescent="0.2">
      <c r="A94" s="183">
        <f t="shared" si="114"/>
        <v>93</v>
      </c>
      <c r="B94" s="184">
        <f t="shared" si="119"/>
        <v>6</v>
      </c>
      <c r="C94" s="183">
        <f t="shared" si="120"/>
        <v>99</v>
      </c>
      <c r="D94" s="174">
        <v>37</v>
      </c>
      <c r="E94" s="189" t="s">
        <v>764</v>
      </c>
      <c r="K94" s="174">
        <v>5</v>
      </c>
      <c r="L94" s="174">
        <v>5</v>
      </c>
      <c r="M94" s="174">
        <v>5</v>
      </c>
      <c r="N94" s="174">
        <v>5</v>
      </c>
      <c r="O94" s="174">
        <v>5</v>
      </c>
      <c r="P94" s="174">
        <v>5</v>
      </c>
      <c r="Q94" s="174">
        <v>5</v>
      </c>
      <c r="R94" s="174">
        <v>5</v>
      </c>
      <c r="S94" s="174">
        <v>5</v>
      </c>
      <c r="AA94" s="174">
        <v>5</v>
      </c>
      <c r="AB94" s="174">
        <v>5</v>
      </c>
      <c r="AD94" s="174">
        <v>5</v>
      </c>
      <c r="AF94" s="174">
        <v>5</v>
      </c>
      <c r="AG94" s="174">
        <v>5</v>
      </c>
      <c r="AK94" s="174">
        <v>5</v>
      </c>
      <c r="AL94" s="174">
        <v>5</v>
      </c>
      <c r="AM94" s="174">
        <v>5</v>
      </c>
      <c r="AO94" s="174">
        <v>5</v>
      </c>
      <c r="AP94" s="174">
        <v>5</v>
      </c>
      <c r="AS94" s="174">
        <v>5</v>
      </c>
      <c r="AT94" s="174">
        <v>5</v>
      </c>
      <c r="AU94" s="174">
        <v>5</v>
      </c>
      <c r="AV94" s="174">
        <v>5</v>
      </c>
      <c r="AW94" s="174">
        <v>5</v>
      </c>
      <c r="AX94" s="174">
        <v>5</v>
      </c>
      <c r="AY94" s="174">
        <v>5</v>
      </c>
      <c r="AZ94" s="174">
        <v>5</v>
      </c>
      <c r="BA94" s="174">
        <v>5</v>
      </c>
      <c r="BB94" s="174">
        <v>5</v>
      </c>
      <c r="BC94" s="174">
        <v>10</v>
      </c>
      <c r="BD94" s="174">
        <v>10</v>
      </c>
      <c r="BE94" s="174">
        <v>10</v>
      </c>
      <c r="BF94" s="174">
        <v>5</v>
      </c>
      <c r="BG94" s="174">
        <v>10</v>
      </c>
      <c r="BH94" s="174">
        <v>5</v>
      </c>
      <c r="BI94" s="174">
        <v>5</v>
      </c>
      <c r="BJ94" s="174">
        <v>5</v>
      </c>
      <c r="BK94" s="174">
        <v>5</v>
      </c>
      <c r="BL94" s="174">
        <v>5</v>
      </c>
      <c r="BM94" s="174">
        <v>5</v>
      </c>
      <c r="BN94" s="174">
        <v>5</v>
      </c>
      <c r="BO94" s="174">
        <v>5</v>
      </c>
      <c r="BP94" s="174">
        <v>5</v>
      </c>
      <c r="BQ94" s="174">
        <v>5</v>
      </c>
      <c r="BR94" s="174">
        <v>10</v>
      </c>
      <c r="BS94" s="174">
        <v>10</v>
      </c>
      <c r="BT94" s="174">
        <v>10</v>
      </c>
      <c r="BU94" s="174">
        <v>5</v>
      </c>
      <c r="BV94" s="174">
        <v>5</v>
      </c>
      <c r="BX94" s="174">
        <v>5</v>
      </c>
      <c r="BY94" s="174">
        <v>5</v>
      </c>
      <c r="BZ94" s="174">
        <v>5</v>
      </c>
      <c r="CA94" s="174">
        <v>5</v>
      </c>
      <c r="CB94" s="174">
        <v>5</v>
      </c>
      <c r="CC94" s="174">
        <v>5</v>
      </c>
      <c r="CD94" s="174">
        <v>5</v>
      </c>
      <c r="CE94" s="174">
        <v>10</v>
      </c>
      <c r="CF94" s="174">
        <v>5</v>
      </c>
      <c r="CG94" s="174">
        <v>5</v>
      </c>
      <c r="CH94" s="174">
        <v>5</v>
      </c>
      <c r="CI94" s="174">
        <v>5</v>
      </c>
      <c r="CJ94" s="174">
        <v>5</v>
      </c>
      <c r="CK94" s="174">
        <v>5</v>
      </c>
      <c r="CL94" s="174">
        <v>5</v>
      </c>
      <c r="CM94" s="174">
        <v>5</v>
      </c>
      <c r="CN94" s="174">
        <v>5</v>
      </c>
      <c r="CO94" s="174">
        <v>5</v>
      </c>
      <c r="CP94" s="174">
        <v>5</v>
      </c>
      <c r="CQ94" s="174">
        <v>5</v>
      </c>
      <c r="CX94" s="174">
        <v>5</v>
      </c>
      <c r="CY94" s="174">
        <v>5</v>
      </c>
      <c r="CZ94" s="174">
        <v>5</v>
      </c>
      <c r="DB94" s="174">
        <v>5</v>
      </c>
      <c r="DC94" s="174">
        <v>5</v>
      </c>
      <c r="DD94" s="174">
        <v>5</v>
      </c>
      <c r="DH94" s="174">
        <v>1</v>
      </c>
      <c r="DI94" s="174">
        <f>Skills!$K$6</f>
        <v>-6.51</v>
      </c>
      <c r="DS94" s="174">
        <v>1</v>
      </c>
      <c r="DT94" s="174">
        <f>Skills!$K$6</f>
        <v>-6.51</v>
      </c>
      <c r="EE94" s="203">
        <v>1.0446000000000009</v>
      </c>
      <c r="EF94" s="174">
        <v>-25</v>
      </c>
      <c r="EH94" s="174">
        <v>24.001000000000001</v>
      </c>
      <c r="EI94" s="174">
        <v>-192</v>
      </c>
      <c r="EP94" s="174" t="s">
        <v>452</v>
      </c>
      <c r="EQ94" s="174" t="s">
        <v>1349</v>
      </c>
      <c r="ER94" s="174" t="s">
        <v>1349</v>
      </c>
      <c r="ES94" s="174" t="s">
        <v>1349</v>
      </c>
      <c r="ET94" s="174" t="s">
        <v>1144</v>
      </c>
      <c r="EV94" s="174" t="s">
        <v>606</v>
      </c>
      <c r="EW94" s="174" t="s">
        <v>422</v>
      </c>
      <c r="EX94" s="174" t="s">
        <v>1339</v>
      </c>
      <c r="EY94" s="174" t="s">
        <v>487</v>
      </c>
      <c r="EZ94" s="174" t="s">
        <v>1128</v>
      </c>
      <c r="FA94" s="174" t="s">
        <v>4334</v>
      </c>
      <c r="FC94" s="174" t="s">
        <v>4333</v>
      </c>
      <c r="FD94" s="174" t="s">
        <v>1372</v>
      </c>
      <c r="FE94" s="174" t="s">
        <v>1339</v>
      </c>
      <c r="FF94" s="174" t="s">
        <v>1307</v>
      </c>
      <c r="FH94" s="174" t="s">
        <v>1128</v>
      </c>
      <c r="FI94" s="174" t="s">
        <v>616</v>
      </c>
      <c r="FJ94" s="174" t="s">
        <v>671</v>
      </c>
      <c r="FM94" s="174" t="s">
        <v>606</v>
      </c>
      <c r="FO94" s="174" t="s">
        <v>566</v>
      </c>
      <c r="FQ94" s="174" t="s">
        <v>429</v>
      </c>
      <c r="FR94" s="174" t="s">
        <v>1368</v>
      </c>
      <c r="FS94" s="174" t="s">
        <v>553</v>
      </c>
      <c r="FU94" s="174" t="s">
        <v>671</v>
      </c>
      <c r="FW94" s="174" t="s">
        <v>1355</v>
      </c>
      <c r="FX94" s="174" t="s">
        <v>671</v>
      </c>
      <c r="FY94" s="174" t="s">
        <v>449</v>
      </c>
      <c r="HA94" s="174">
        <v>25</v>
      </c>
      <c r="HB94" s="197">
        <v>91</v>
      </c>
      <c r="HC94" s="194">
        <v>66</v>
      </c>
      <c r="HD94" s="238">
        <v>91</v>
      </c>
      <c r="HE94" s="236">
        <v>25</v>
      </c>
      <c r="HF94" s="183">
        <v>156</v>
      </c>
      <c r="HG94" s="193">
        <f t="shared" si="116"/>
        <v>151</v>
      </c>
      <c r="HH94" s="192" t="e">
        <f t="shared" si="117"/>
        <v>#REF!</v>
      </c>
      <c r="HI94" s="198">
        <v>25</v>
      </c>
      <c r="HJ94" s="185">
        <v>135.5</v>
      </c>
      <c r="HK94" s="174">
        <v>92</v>
      </c>
      <c r="HL94" s="174">
        <f t="shared" si="83"/>
        <v>438</v>
      </c>
      <c r="HM94" s="174">
        <f t="shared" si="84"/>
        <v>428</v>
      </c>
      <c r="HN94" s="174">
        <f t="shared" si="85"/>
        <v>346</v>
      </c>
      <c r="HO94" s="174">
        <f t="shared" si="86"/>
        <v>274</v>
      </c>
      <c r="HP94" s="174">
        <f t="shared" si="87"/>
        <v>212</v>
      </c>
      <c r="HQ94" s="174">
        <f t="shared" si="88"/>
        <v>202</v>
      </c>
      <c r="HR94" s="174">
        <f t="shared" si="89"/>
        <v>202</v>
      </c>
      <c r="HS94" s="174">
        <f t="shared" si="90"/>
        <v>192</v>
      </c>
      <c r="HT94" s="174">
        <f t="shared" si="91"/>
        <v>182</v>
      </c>
      <c r="HU94" s="174">
        <f t="shared" si="92"/>
        <v>336</v>
      </c>
      <c r="HV94" s="174">
        <f t="shared" si="93"/>
        <v>202</v>
      </c>
      <c r="HW94" s="174">
        <f t="shared" si="94"/>
        <v>192</v>
      </c>
      <c r="HX94" s="174">
        <f t="shared" si="95"/>
        <v>254</v>
      </c>
      <c r="HY94" s="174">
        <f t="shared" si="96"/>
        <v>182</v>
      </c>
      <c r="HZ94" s="174">
        <f t="shared" si="97"/>
        <v>172</v>
      </c>
      <c r="IA94" s="174">
        <f t="shared" si="98"/>
        <v>162</v>
      </c>
      <c r="IB94" s="174">
        <f t="shared" si="99"/>
        <v>244</v>
      </c>
      <c r="IC94" s="174">
        <f t="shared" si="100"/>
        <v>224</v>
      </c>
      <c r="ID94" s="174">
        <f t="shared" si="101"/>
        <v>152</v>
      </c>
      <c r="IE94" s="174">
        <f t="shared" si="102"/>
        <v>214</v>
      </c>
      <c r="IF94" s="174">
        <f t="shared" si="103"/>
        <v>152</v>
      </c>
      <c r="IG94" s="174">
        <f t="shared" si="104"/>
        <v>132</v>
      </c>
      <c r="IH94" s="174">
        <f t="shared" si="105"/>
        <v>122</v>
      </c>
      <c r="II94" s="174">
        <f t="shared" si="106"/>
        <v>102</v>
      </c>
      <c r="IJ94" s="174">
        <v>94</v>
      </c>
      <c r="IR94" s="174">
        <v>4100000</v>
      </c>
      <c r="IS94" s="174">
        <v>92</v>
      </c>
    </row>
    <row r="95" spans="1:253" ht="13.35" customHeight="1" x14ac:dyDescent="0.2">
      <c r="A95" s="183">
        <f t="shared" si="114"/>
        <v>94</v>
      </c>
      <c r="B95" s="184">
        <f t="shared" si="119"/>
        <v>7</v>
      </c>
      <c r="C95" s="183">
        <f t="shared" si="120"/>
        <v>106</v>
      </c>
      <c r="D95" s="174">
        <v>38</v>
      </c>
      <c r="E95" s="189" t="s">
        <v>762</v>
      </c>
      <c r="K95" s="174">
        <v>5</v>
      </c>
      <c r="L95" s="174">
        <v>5</v>
      </c>
      <c r="M95" s="174">
        <v>5</v>
      </c>
      <c r="N95" s="174">
        <v>5</v>
      </c>
      <c r="O95" s="174">
        <v>5</v>
      </c>
      <c r="P95" s="174">
        <v>5</v>
      </c>
      <c r="Q95" s="174">
        <v>5</v>
      </c>
      <c r="R95" s="174">
        <v>5</v>
      </c>
      <c r="S95" s="174">
        <v>5</v>
      </c>
      <c r="AA95" s="174">
        <v>5</v>
      </c>
      <c r="AB95" s="174">
        <v>5</v>
      </c>
      <c r="AD95" s="174">
        <v>5</v>
      </c>
      <c r="AF95" s="174">
        <v>5</v>
      </c>
      <c r="AG95" s="174">
        <v>5</v>
      </c>
      <c r="AK95" s="174">
        <v>5</v>
      </c>
      <c r="AL95" s="174">
        <v>5</v>
      </c>
      <c r="AM95" s="174">
        <v>5</v>
      </c>
      <c r="AO95" s="174">
        <v>5</v>
      </c>
      <c r="AP95" s="174">
        <v>5</v>
      </c>
      <c r="AS95" s="174">
        <v>5</v>
      </c>
      <c r="AT95" s="174">
        <v>5</v>
      </c>
      <c r="AU95" s="174">
        <v>5</v>
      </c>
      <c r="AV95" s="174">
        <v>5</v>
      </c>
      <c r="AW95" s="174">
        <v>5</v>
      </c>
      <c r="AX95" s="174">
        <v>5</v>
      </c>
      <c r="AY95" s="174">
        <v>5</v>
      </c>
      <c r="AZ95" s="174">
        <v>5</v>
      </c>
      <c r="BA95" s="174">
        <v>5</v>
      </c>
      <c r="BB95" s="174">
        <v>5</v>
      </c>
      <c r="BC95" s="174">
        <v>10</v>
      </c>
      <c r="BD95" s="174">
        <v>10</v>
      </c>
      <c r="BE95" s="174">
        <v>10</v>
      </c>
      <c r="BF95" s="174">
        <v>5</v>
      </c>
      <c r="BG95" s="174">
        <v>10</v>
      </c>
      <c r="BH95" s="174">
        <v>5</v>
      </c>
      <c r="BI95" s="174">
        <v>5</v>
      </c>
      <c r="BJ95" s="174">
        <v>5</v>
      </c>
      <c r="BK95" s="174">
        <v>5</v>
      </c>
      <c r="BL95" s="174">
        <v>5</v>
      </c>
      <c r="BM95" s="174">
        <v>5</v>
      </c>
      <c r="BN95" s="174">
        <v>5</v>
      </c>
      <c r="BO95" s="174">
        <v>5</v>
      </c>
      <c r="BP95" s="174">
        <v>5</v>
      </c>
      <c r="BQ95" s="174">
        <v>5</v>
      </c>
      <c r="BR95" s="174">
        <v>10</v>
      </c>
      <c r="BS95" s="174">
        <v>10</v>
      </c>
      <c r="BT95" s="174">
        <v>10</v>
      </c>
      <c r="BU95" s="174">
        <v>5</v>
      </c>
      <c r="BV95" s="174">
        <v>5</v>
      </c>
      <c r="BX95" s="174">
        <v>5</v>
      </c>
      <c r="BY95" s="174">
        <v>5</v>
      </c>
      <c r="BZ95" s="174">
        <v>5</v>
      </c>
      <c r="CA95" s="174">
        <v>5</v>
      </c>
      <c r="CB95" s="174">
        <v>5</v>
      </c>
      <c r="CC95" s="174">
        <v>5</v>
      </c>
      <c r="CD95" s="174">
        <v>5</v>
      </c>
      <c r="CE95" s="174">
        <v>10</v>
      </c>
      <c r="CF95" s="174">
        <v>5</v>
      </c>
      <c r="CG95" s="174">
        <v>5</v>
      </c>
      <c r="CH95" s="174">
        <v>5</v>
      </c>
      <c r="CI95" s="174">
        <v>5</v>
      </c>
      <c r="CJ95" s="174">
        <v>5</v>
      </c>
      <c r="CK95" s="174">
        <v>5</v>
      </c>
      <c r="CL95" s="174">
        <v>5</v>
      </c>
      <c r="CM95" s="174">
        <v>5</v>
      </c>
      <c r="CN95" s="174">
        <v>5</v>
      </c>
      <c r="CO95" s="174">
        <v>5</v>
      </c>
      <c r="CP95" s="174">
        <v>5</v>
      </c>
      <c r="CQ95" s="174">
        <v>5</v>
      </c>
      <c r="CX95" s="174">
        <v>5</v>
      </c>
      <c r="CY95" s="174">
        <v>5</v>
      </c>
      <c r="CZ95" s="174">
        <v>5</v>
      </c>
      <c r="DB95" s="174">
        <v>5</v>
      </c>
      <c r="DC95" s="174">
        <v>5</v>
      </c>
      <c r="DD95" s="174">
        <v>5</v>
      </c>
      <c r="DH95" s="174">
        <v>2</v>
      </c>
      <c r="DI95" s="174">
        <f>Skills!$K$7</f>
        <v>-6.51</v>
      </c>
      <c r="DK95" s="174" t="s">
        <v>1337</v>
      </c>
      <c r="DS95" s="174">
        <v>2</v>
      </c>
      <c r="DT95" s="174">
        <f>Skills!$K$7</f>
        <v>-6.51</v>
      </c>
      <c r="DV95" s="174" t="s">
        <v>1337</v>
      </c>
      <c r="EE95" s="203">
        <v>1.070000000000001</v>
      </c>
      <c r="EF95" s="174">
        <v>-25</v>
      </c>
      <c r="EH95" s="174">
        <v>25.001000000000001</v>
      </c>
      <c r="EI95" s="174">
        <v>-200</v>
      </c>
      <c r="EP95" s="174" t="s">
        <v>1349</v>
      </c>
      <c r="EQ95" s="174" t="s">
        <v>4333</v>
      </c>
      <c r="ER95" s="174" t="s">
        <v>1132</v>
      </c>
      <c r="ES95" s="174" t="s">
        <v>1132</v>
      </c>
      <c r="ET95" s="174" t="s">
        <v>1349</v>
      </c>
      <c r="EV95" s="174" t="s">
        <v>1339</v>
      </c>
      <c r="EW95" s="174" t="s">
        <v>682</v>
      </c>
      <c r="EX95" s="174" t="s">
        <v>422</v>
      </c>
      <c r="EY95" s="174" t="s">
        <v>1129</v>
      </c>
      <c r="EZ95" s="174" t="s">
        <v>650</v>
      </c>
      <c r="FD95" s="174" t="s">
        <v>1375</v>
      </c>
      <c r="FE95" s="174" t="s">
        <v>471</v>
      </c>
      <c r="FF95" s="174" t="s">
        <v>1359</v>
      </c>
      <c r="FH95" s="174" t="s">
        <v>551</v>
      </c>
      <c r="FI95" s="174" t="s">
        <v>1141</v>
      </c>
      <c r="FJ95" s="174" t="s">
        <v>1129</v>
      </c>
      <c r="FM95" s="174" t="s">
        <v>422</v>
      </c>
      <c r="FO95" s="174" t="s">
        <v>606</v>
      </c>
      <c r="FQ95" s="174" t="s">
        <v>671</v>
      </c>
      <c r="FR95" s="174" t="s">
        <v>677</v>
      </c>
      <c r="FS95" s="174" t="s">
        <v>606</v>
      </c>
      <c r="FU95" s="174" t="s">
        <v>1129</v>
      </c>
      <c r="FW95" s="174" t="s">
        <v>1141</v>
      </c>
      <c r="FX95" s="174" t="s">
        <v>1129</v>
      </c>
      <c r="FY95" s="174" t="s">
        <v>450</v>
      </c>
      <c r="HA95" s="174">
        <v>26</v>
      </c>
      <c r="HB95" s="197">
        <v>92</v>
      </c>
      <c r="HC95" s="194">
        <v>66</v>
      </c>
      <c r="HD95" s="238">
        <v>91</v>
      </c>
      <c r="HE95" s="236">
        <v>25</v>
      </c>
      <c r="HF95" s="183">
        <v>157</v>
      </c>
      <c r="HG95" s="193">
        <f t="shared" si="116"/>
        <v>152</v>
      </c>
      <c r="HH95" s="192" t="e">
        <f t="shared" si="117"/>
        <v>#REF!</v>
      </c>
      <c r="HI95" s="198">
        <v>25</v>
      </c>
      <c r="HJ95" s="185">
        <v>136</v>
      </c>
      <c r="HK95" s="174">
        <v>93</v>
      </c>
      <c r="HL95" s="174">
        <f t="shared" si="83"/>
        <v>442</v>
      </c>
      <c r="HM95" s="174">
        <f t="shared" si="84"/>
        <v>432</v>
      </c>
      <c r="HN95" s="174">
        <f t="shared" si="85"/>
        <v>349</v>
      </c>
      <c r="HO95" s="174">
        <f t="shared" si="86"/>
        <v>276</v>
      </c>
      <c r="HP95" s="174">
        <f t="shared" si="87"/>
        <v>213</v>
      </c>
      <c r="HQ95" s="174">
        <f t="shared" si="88"/>
        <v>203</v>
      </c>
      <c r="HR95" s="174">
        <f t="shared" si="89"/>
        <v>203</v>
      </c>
      <c r="HS95" s="174">
        <f t="shared" si="90"/>
        <v>193</v>
      </c>
      <c r="HT95" s="174">
        <f t="shared" si="91"/>
        <v>183</v>
      </c>
      <c r="HU95" s="174">
        <f t="shared" si="92"/>
        <v>339</v>
      </c>
      <c r="HV95" s="174">
        <f t="shared" si="93"/>
        <v>203</v>
      </c>
      <c r="HW95" s="174">
        <f t="shared" si="94"/>
        <v>193</v>
      </c>
      <c r="HX95" s="174">
        <f t="shared" si="95"/>
        <v>256</v>
      </c>
      <c r="HY95" s="174">
        <f t="shared" si="96"/>
        <v>183</v>
      </c>
      <c r="HZ95" s="174">
        <f t="shared" si="97"/>
        <v>173</v>
      </c>
      <c r="IA95" s="174">
        <f t="shared" si="98"/>
        <v>163</v>
      </c>
      <c r="IB95" s="174">
        <f t="shared" si="99"/>
        <v>246</v>
      </c>
      <c r="IC95" s="174">
        <f t="shared" si="100"/>
        <v>226</v>
      </c>
      <c r="ID95" s="174">
        <f t="shared" si="101"/>
        <v>153</v>
      </c>
      <c r="IE95" s="174">
        <f t="shared" si="102"/>
        <v>216</v>
      </c>
      <c r="IF95" s="174">
        <f t="shared" si="103"/>
        <v>153</v>
      </c>
      <c r="IG95" s="174">
        <f t="shared" si="104"/>
        <v>133</v>
      </c>
      <c r="IH95" s="174">
        <f t="shared" si="105"/>
        <v>123</v>
      </c>
      <c r="II95" s="174">
        <f t="shared" si="106"/>
        <v>103</v>
      </c>
      <c r="IJ95" s="174">
        <v>95</v>
      </c>
      <c r="IR95" s="174">
        <v>4150000</v>
      </c>
      <c r="IS95" s="174">
        <v>93</v>
      </c>
    </row>
    <row r="96" spans="1:253" ht="13.35" customHeight="1" x14ac:dyDescent="0.2">
      <c r="A96" s="183">
        <f t="shared" si="114"/>
        <v>95</v>
      </c>
      <c r="B96" s="184">
        <f t="shared" si="119"/>
        <v>7</v>
      </c>
      <c r="C96" s="183">
        <f t="shared" si="120"/>
        <v>115</v>
      </c>
      <c r="D96" s="174">
        <v>39</v>
      </c>
      <c r="E96" s="189" t="s">
        <v>763</v>
      </c>
      <c r="K96" s="174">
        <v>5</v>
      </c>
      <c r="L96" s="174">
        <v>5</v>
      </c>
      <c r="M96" s="174">
        <v>5</v>
      </c>
      <c r="N96" s="174">
        <v>5</v>
      </c>
      <c r="O96" s="174">
        <v>5</v>
      </c>
      <c r="P96" s="174">
        <v>5</v>
      </c>
      <c r="Q96" s="174">
        <v>5</v>
      </c>
      <c r="R96" s="174">
        <v>5</v>
      </c>
      <c r="S96" s="174">
        <v>5</v>
      </c>
      <c r="AA96" s="174">
        <v>5</v>
      </c>
      <c r="AB96" s="174">
        <v>5</v>
      </c>
      <c r="AD96" s="174">
        <v>5</v>
      </c>
      <c r="AF96" s="174">
        <v>5</v>
      </c>
      <c r="AG96" s="174">
        <v>5</v>
      </c>
      <c r="AK96" s="174">
        <v>5</v>
      </c>
      <c r="AL96" s="174">
        <v>5</v>
      </c>
      <c r="AM96" s="174">
        <v>5</v>
      </c>
      <c r="AO96" s="174">
        <v>5</v>
      </c>
      <c r="AP96" s="174">
        <v>5</v>
      </c>
      <c r="AS96" s="174">
        <v>5</v>
      </c>
      <c r="AT96" s="174">
        <v>5</v>
      </c>
      <c r="AU96" s="174">
        <v>5</v>
      </c>
      <c r="AV96" s="174">
        <v>5</v>
      </c>
      <c r="AW96" s="174">
        <v>5</v>
      </c>
      <c r="AX96" s="174">
        <v>5</v>
      </c>
      <c r="AY96" s="174">
        <v>5</v>
      </c>
      <c r="AZ96" s="174">
        <v>5</v>
      </c>
      <c r="BA96" s="174">
        <v>5</v>
      </c>
      <c r="BB96" s="174">
        <v>5</v>
      </c>
      <c r="BC96" s="174">
        <v>10</v>
      </c>
      <c r="BD96" s="174">
        <v>10</v>
      </c>
      <c r="BE96" s="174">
        <v>10</v>
      </c>
      <c r="BF96" s="174">
        <v>5</v>
      </c>
      <c r="BG96" s="174">
        <v>10</v>
      </c>
      <c r="BH96" s="174">
        <v>5</v>
      </c>
      <c r="BI96" s="174">
        <v>5</v>
      </c>
      <c r="BJ96" s="174">
        <v>5</v>
      </c>
      <c r="BK96" s="174">
        <v>5</v>
      </c>
      <c r="BL96" s="174">
        <v>5</v>
      </c>
      <c r="BM96" s="174">
        <v>5</v>
      </c>
      <c r="BN96" s="174">
        <v>5</v>
      </c>
      <c r="BO96" s="174">
        <v>5</v>
      </c>
      <c r="BP96" s="174">
        <v>5</v>
      </c>
      <c r="BQ96" s="174">
        <v>5</v>
      </c>
      <c r="BR96" s="174">
        <v>10</v>
      </c>
      <c r="BS96" s="174">
        <v>10</v>
      </c>
      <c r="BT96" s="174">
        <v>10</v>
      </c>
      <c r="BU96" s="174">
        <v>5</v>
      </c>
      <c r="BV96" s="174">
        <v>5</v>
      </c>
      <c r="BX96" s="174">
        <v>5</v>
      </c>
      <c r="BY96" s="174">
        <v>5</v>
      </c>
      <c r="BZ96" s="174">
        <v>5</v>
      </c>
      <c r="CA96" s="174">
        <v>5</v>
      </c>
      <c r="CB96" s="174">
        <v>5</v>
      </c>
      <c r="CC96" s="174">
        <v>5</v>
      </c>
      <c r="CD96" s="174">
        <v>5</v>
      </c>
      <c r="CE96" s="174">
        <v>10</v>
      </c>
      <c r="CF96" s="174">
        <v>5</v>
      </c>
      <c r="CG96" s="174">
        <v>5</v>
      </c>
      <c r="CH96" s="174">
        <v>5</v>
      </c>
      <c r="CI96" s="174">
        <v>5</v>
      </c>
      <c r="CJ96" s="174">
        <v>5</v>
      </c>
      <c r="CK96" s="174">
        <v>5</v>
      </c>
      <c r="CL96" s="174">
        <v>5</v>
      </c>
      <c r="CM96" s="174">
        <v>5</v>
      </c>
      <c r="CN96" s="174">
        <v>5</v>
      </c>
      <c r="CO96" s="174">
        <v>5</v>
      </c>
      <c r="CP96" s="174">
        <v>5</v>
      </c>
      <c r="CQ96" s="174">
        <v>5</v>
      </c>
      <c r="CX96" s="174">
        <v>5</v>
      </c>
      <c r="CY96" s="174">
        <v>5</v>
      </c>
      <c r="CZ96" s="174">
        <v>5</v>
      </c>
      <c r="DB96" s="174">
        <v>5</v>
      </c>
      <c r="DC96" s="174">
        <v>5</v>
      </c>
      <c r="DD96" s="174">
        <v>5</v>
      </c>
      <c r="DH96" s="174">
        <v>3</v>
      </c>
      <c r="DI96" s="174">
        <f>Skills!$K$9</f>
        <v>-24.509999999999998</v>
      </c>
      <c r="DK96" s="174">
        <f>VLOOKUP($DK$93,$DH$93:$DI$97,2)</f>
        <v>0</v>
      </c>
      <c r="DS96" s="174">
        <v>3</v>
      </c>
      <c r="DT96" s="174">
        <f>Skills!$K$9</f>
        <v>-24.509999999999998</v>
      </c>
      <c r="DV96" s="174">
        <f>VLOOKUP($DV$93,$DS$93:$DT$97,2)</f>
        <v>0</v>
      </c>
      <c r="EE96" s="203">
        <v>1.095400000000001</v>
      </c>
      <c r="EF96" s="174">
        <v>-25</v>
      </c>
      <c r="EH96" s="174">
        <v>26.001000000000001</v>
      </c>
      <c r="EI96" s="174">
        <v>-208</v>
      </c>
      <c r="EP96" s="174" t="s">
        <v>4333</v>
      </c>
      <c r="EQ96" s="174" t="s">
        <v>4390</v>
      </c>
      <c r="ER96" s="234" t="s">
        <v>4325</v>
      </c>
      <c r="ES96" s="174" t="s">
        <v>4336</v>
      </c>
      <c r="ET96" s="174" t="s">
        <v>1132</v>
      </c>
      <c r="EV96" s="174" t="s">
        <v>422</v>
      </c>
      <c r="EW96" s="174" t="s">
        <v>677</v>
      </c>
      <c r="EX96" s="174" t="s">
        <v>1307</v>
      </c>
      <c r="EY96" s="174" t="s">
        <v>469</v>
      </c>
      <c r="EZ96" s="174" t="s">
        <v>487</v>
      </c>
      <c r="FD96" s="174" t="s">
        <v>1376</v>
      </c>
      <c r="FE96" s="174" t="s">
        <v>677</v>
      </c>
      <c r="FF96" s="174" t="s">
        <v>423</v>
      </c>
      <c r="FH96" s="174" t="s">
        <v>1135</v>
      </c>
      <c r="FI96" s="174" t="s">
        <v>4278</v>
      </c>
      <c r="FJ96" s="174" t="s">
        <v>553</v>
      </c>
      <c r="FM96" s="174" t="s">
        <v>450</v>
      </c>
      <c r="FO96" s="174" t="s">
        <v>536</v>
      </c>
      <c r="FQ96" s="174" t="s">
        <v>1129</v>
      </c>
      <c r="FR96" s="174" t="s">
        <v>1387</v>
      </c>
      <c r="FS96" s="174" t="s">
        <v>433</v>
      </c>
      <c r="FU96" s="174" t="s">
        <v>553</v>
      </c>
      <c r="FW96" s="174" t="s">
        <v>1128</v>
      </c>
      <c r="FX96" s="174" t="s">
        <v>553</v>
      </c>
      <c r="FY96" s="174" t="s">
        <v>677</v>
      </c>
      <c r="HA96" s="174">
        <v>27</v>
      </c>
      <c r="HB96" s="197">
        <v>93</v>
      </c>
      <c r="HC96" s="194">
        <v>67</v>
      </c>
      <c r="HD96" s="238">
        <v>92</v>
      </c>
      <c r="HE96" s="236">
        <v>25</v>
      </c>
      <c r="HF96" s="183">
        <v>158</v>
      </c>
      <c r="HG96" s="193">
        <f t="shared" si="116"/>
        <v>153</v>
      </c>
      <c r="HH96" s="192" t="e">
        <f t="shared" si="117"/>
        <v>#REF!</v>
      </c>
      <c r="HI96" s="198">
        <v>25</v>
      </c>
      <c r="HJ96" s="185">
        <v>136.5</v>
      </c>
      <c r="HK96" s="174">
        <v>94</v>
      </c>
      <c r="HL96" s="174">
        <f t="shared" si="83"/>
        <v>446</v>
      </c>
      <c r="HM96" s="174">
        <f t="shared" si="84"/>
        <v>436</v>
      </c>
      <c r="HN96" s="174">
        <f t="shared" si="85"/>
        <v>352</v>
      </c>
      <c r="HO96" s="174">
        <f t="shared" si="86"/>
        <v>278</v>
      </c>
      <c r="HP96" s="174">
        <f t="shared" si="87"/>
        <v>214</v>
      </c>
      <c r="HQ96" s="174">
        <f t="shared" si="88"/>
        <v>204</v>
      </c>
      <c r="HR96" s="174">
        <f t="shared" si="89"/>
        <v>204</v>
      </c>
      <c r="HS96" s="174">
        <f t="shared" si="90"/>
        <v>194</v>
      </c>
      <c r="HT96" s="174">
        <f t="shared" si="91"/>
        <v>184</v>
      </c>
      <c r="HU96" s="174">
        <f t="shared" si="92"/>
        <v>342</v>
      </c>
      <c r="HV96" s="174">
        <f t="shared" si="93"/>
        <v>204</v>
      </c>
      <c r="HW96" s="174">
        <f t="shared" si="94"/>
        <v>194</v>
      </c>
      <c r="HX96" s="174">
        <f t="shared" si="95"/>
        <v>258</v>
      </c>
      <c r="HY96" s="174">
        <f t="shared" si="96"/>
        <v>184</v>
      </c>
      <c r="HZ96" s="174">
        <f t="shared" si="97"/>
        <v>174</v>
      </c>
      <c r="IA96" s="174">
        <f t="shared" si="98"/>
        <v>164</v>
      </c>
      <c r="IB96" s="174">
        <f t="shared" si="99"/>
        <v>248</v>
      </c>
      <c r="IC96" s="174">
        <f t="shared" si="100"/>
        <v>228</v>
      </c>
      <c r="ID96" s="174">
        <f t="shared" si="101"/>
        <v>154</v>
      </c>
      <c r="IE96" s="174">
        <f t="shared" si="102"/>
        <v>218</v>
      </c>
      <c r="IF96" s="174">
        <f t="shared" si="103"/>
        <v>154</v>
      </c>
      <c r="IG96" s="174">
        <f t="shared" si="104"/>
        <v>134</v>
      </c>
      <c r="IH96" s="174">
        <f t="shared" si="105"/>
        <v>124</v>
      </c>
      <c r="II96" s="174">
        <f t="shared" si="106"/>
        <v>104</v>
      </c>
      <c r="IJ96" s="174">
        <v>96</v>
      </c>
      <c r="IR96" s="174">
        <v>4200000</v>
      </c>
      <c r="IS96" s="174">
        <v>94</v>
      </c>
    </row>
    <row r="97" spans="1:253" ht="13.35" customHeight="1" x14ac:dyDescent="0.2">
      <c r="A97" s="183">
        <f t="shared" si="114"/>
        <v>96</v>
      </c>
      <c r="B97" s="184">
        <f t="shared" si="119"/>
        <v>8</v>
      </c>
      <c r="C97" s="183">
        <f t="shared" si="120"/>
        <v>126</v>
      </c>
      <c r="D97" s="174">
        <v>40</v>
      </c>
      <c r="E97" s="189" t="s">
        <v>750</v>
      </c>
      <c r="K97" s="174">
        <v>5</v>
      </c>
      <c r="L97" s="174">
        <v>5</v>
      </c>
      <c r="M97" s="174">
        <v>5</v>
      </c>
      <c r="N97" s="174">
        <v>5</v>
      </c>
      <c r="O97" s="174">
        <v>5</v>
      </c>
      <c r="P97" s="174">
        <v>5</v>
      </c>
      <c r="Q97" s="174">
        <v>5</v>
      </c>
      <c r="R97" s="174">
        <v>5</v>
      </c>
      <c r="S97" s="174">
        <v>5</v>
      </c>
      <c r="AA97" s="174">
        <v>5</v>
      </c>
      <c r="AB97" s="174">
        <v>5</v>
      </c>
      <c r="AD97" s="174">
        <v>5</v>
      </c>
      <c r="AF97" s="174">
        <v>5</v>
      </c>
      <c r="AG97" s="174">
        <v>5</v>
      </c>
      <c r="AK97" s="174">
        <v>5</v>
      </c>
      <c r="AL97" s="174">
        <v>5</v>
      </c>
      <c r="AM97" s="174">
        <v>5</v>
      </c>
      <c r="AO97" s="174">
        <v>5</v>
      </c>
      <c r="AP97" s="174">
        <v>5</v>
      </c>
      <c r="AS97" s="174">
        <v>5</v>
      </c>
      <c r="AT97" s="174">
        <v>5</v>
      </c>
      <c r="AU97" s="174">
        <v>5</v>
      </c>
      <c r="AV97" s="174">
        <v>5</v>
      </c>
      <c r="AW97" s="174">
        <v>5</v>
      </c>
      <c r="AX97" s="174">
        <v>5</v>
      </c>
      <c r="AY97" s="174">
        <v>5</v>
      </c>
      <c r="AZ97" s="174">
        <v>5</v>
      </c>
      <c r="BA97" s="174">
        <v>5</v>
      </c>
      <c r="BB97" s="174">
        <v>5</v>
      </c>
      <c r="BC97" s="174">
        <v>10</v>
      </c>
      <c r="BD97" s="174">
        <v>10</v>
      </c>
      <c r="BE97" s="174">
        <v>10</v>
      </c>
      <c r="BF97" s="174">
        <v>5</v>
      </c>
      <c r="BG97" s="174">
        <v>10</v>
      </c>
      <c r="BH97" s="174">
        <v>5</v>
      </c>
      <c r="BI97" s="174">
        <v>5</v>
      </c>
      <c r="BJ97" s="174">
        <v>5</v>
      </c>
      <c r="BK97" s="174">
        <v>5</v>
      </c>
      <c r="BL97" s="174">
        <v>5</v>
      </c>
      <c r="BM97" s="174">
        <v>5</v>
      </c>
      <c r="BN97" s="174">
        <v>5</v>
      </c>
      <c r="BO97" s="174">
        <v>5</v>
      </c>
      <c r="BP97" s="174">
        <v>5</v>
      </c>
      <c r="BQ97" s="174">
        <v>5</v>
      </c>
      <c r="BR97" s="174">
        <v>10</v>
      </c>
      <c r="BS97" s="174">
        <v>10</v>
      </c>
      <c r="BT97" s="174">
        <v>10</v>
      </c>
      <c r="BU97" s="174">
        <v>5</v>
      </c>
      <c r="BV97" s="174">
        <v>5</v>
      </c>
      <c r="BX97" s="174">
        <v>5</v>
      </c>
      <c r="BY97" s="174">
        <v>5</v>
      </c>
      <c r="BZ97" s="174">
        <v>5</v>
      </c>
      <c r="CA97" s="174">
        <v>5</v>
      </c>
      <c r="CB97" s="174">
        <v>5</v>
      </c>
      <c r="CC97" s="174">
        <v>5</v>
      </c>
      <c r="CD97" s="174">
        <v>5</v>
      </c>
      <c r="CE97" s="174">
        <v>10</v>
      </c>
      <c r="CF97" s="174">
        <v>5</v>
      </c>
      <c r="CG97" s="174">
        <v>5</v>
      </c>
      <c r="CH97" s="174">
        <v>5</v>
      </c>
      <c r="CI97" s="174">
        <v>5</v>
      </c>
      <c r="CJ97" s="174">
        <v>5</v>
      </c>
      <c r="CK97" s="174">
        <v>5</v>
      </c>
      <c r="CL97" s="174">
        <v>5</v>
      </c>
      <c r="CM97" s="174">
        <v>5</v>
      </c>
      <c r="CN97" s="174">
        <v>5</v>
      </c>
      <c r="CO97" s="174">
        <v>5</v>
      </c>
      <c r="CP97" s="174">
        <v>5</v>
      </c>
      <c r="CQ97" s="174">
        <v>5</v>
      </c>
      <c r="CX97" s="174">
        <v>5</v>
      </c>
      <c r="CY97" s="174">
        <v>5</v>
      </c>
      <c r="CZ97" s="174">
        <v>5</v>
      </c>
      <c r="DB97" s="174">
        <v>5</v>
      </c>
      <c r="DC97" s="174">
        <v>5</v>
      </c>
      <c r="DD97" s="174">
        <v>5</v>
      </c>
      <c r="DH97" s="174">
        <v>4</v>
      </c>
      <c r="DI97" s="174">
        <f>Skills!$K$4</f>
        <v>-24.509999999999998</v>
      </c>
      <c r="DS97" s="174">
        <v>4</v>
      </c>
      <c r="DT97" s="174">
        <f>Skills!$K$4</f>
        <v>-24.509999999999998</v>
      </c>
      <c r="EE97" s="203">
        <v>1.1208000000000011</v>
      </c>
      <c r="EF97" s="174">
        <v>-25</v>
      </c>
      <c r="EH97" s="174">
        <v>27.001000000000001</v>
      </c>
      <c r="EI97" s="174">
        <v>-216</v>
      </c>
      <c r="EP97" s="174" t="s">
        <v>4337</v>
      </c>
      <c r="EQ97" s="174" t="s">
        <v>4391</v>
      </c>
      <c r="ER97" s="174" t="s">
        <v>486</v>
      </c>
      <c r="ES97" s="174" t="s">
        <v>4333</v>
      </c>
      <c r="ET97" s="234" t="s">
        <v>4206</v>
      </c>
      <c r="EV97" s="174" t="s">
        <v>450</v>
      </c>
      <c r="EW97" s="174" t="s">
        <v>1307</v>
      </c>
      <c r="EX97" s="174" t="s">
        <v>616</v>
      </c>
      <c r="EY97" s="174" t="s">
        <v>536</v>
      </c>
      <c r="EZ97" s="174" t="s">
        <v>1129</v>
      </c>
      <c r="FD97" s="174" t="s">
        <v>1379</v>
      </c>
      <c r="FE97" s="174" t="s">
        <v>1307</v>
      </c>
      <c r="FF97" s="174" t="s">
        <v>491</v>
      </c>
      <c r="FH97" s="174" t="s">
        <v>1356</v>
      </c>
      <c r="FI97" s="174" t="s">
        <v>4279</v>
      </c>
      <c r="FJ97" s="174" t="s">
        <v>621</v>
      </c>
      <c r="FM97" s="174" t="s">
        <v>677</v>
      </c>
      <c r="FO97" s="174" t="s">
        <v>433</v>
      </c>
      <c r="FQ97" s="174" t="s">
        <v>553</v>
      </c>
      <c r="FR97" s="174" t="s">
        <v>616</v>
      </c>
      <c r="FS97" s="174" t="s">
        <v>554</v>
      </c>
      <c r="FU97" s="174" t="s">
        <v>621</v>
      </c>
      <c r="FW97" s="174" t="s">
        <v>1366</v>
      </c>
      <c r="FX97" s="174" t="s">
        <v>621</v>
      </c>
      <c r="FY97" s="174" t="s">
        <v>1360</v>
      </c>
      <c r="HA97" s="174">
        <v>28</v>
      </c>
      <c r="HB97" s="197">
        <v>94</v>
      </c>
      <c r="HC97" s="194">
        <v>67</v>
      </c>
      <c r="HD97" s="238">
        <v>92</v>
      </c>
      <c r="HE97" s="236">
        <v>25</v>
      </c>
      <c r="HF97" s="183">
        <v>159</v>
      </c>
      <c r="HG97" s="193">
        <f t="shared" si="116"/>
        <v>154</v>
      </c>
      <c r="HH97" s="192" t="e">
        <f t="shared" si="117"/>
        <v>#REF!</v>
      </c>
      <c r="HI97" s="198">
        <v>25</v>
      </c>
      <c r="HJ97" s="185">
        <v>137</v>
      </c>
      <c r="HK97" s="174">
        <v>95</v>
      </c>
      <c r="HL97" s="174">
        <f t="shared" si="83"/>
        <v>450</v>
      </c>
      <c r="HM97" s="174">
        <f t="shared" si="84"/>
        <v>440</v>
      </c>
      <c r="HN97" s="174">
        <f t="shared" si="85"/>
        <v>355</v>
      </c>
      <c r="HO97" s="174">
        <f t="shared" si="86"/>
        <v>280</v>
      </c>
      <c r="HP97" s="174">
        <f t="shared" si="87"/>
        <v>215</v>
      </c>
      <c r="HQ97" s="174">
        <f t="shared" si="88"/>
        <v>205</v>
      </c>
      <c r="HR97" s="174">
        <f t="shared" si="89"/>
        <v>205</v>
      </c>
      <c r="HS97" s="174">
        <f t="shared" si="90"/>
        <v>195</v>
      </c>
      <c r="HT97" s="174">
        <f t="shared" si="91"/>
        <v>185</v>
      </c>
      <c r="HU97" s="174">
        <f t="shared" si="92"/>
        <v>345</v>
      </c>
      <c r="HV97" s="174">
        <f t="shared" si="93"/>
        <v>205</v>
      </c>
      <c r="HW97" s="174">
        <f t="shared" si="94"/>
        <v>195</v>
      </c>
      <c r="HX97" s="174">
        <f t="shared" si="95"/>
        <v>260</v>
      </c>
      <c r="HY97" s="174">
        <f t="shared" si="96"/>
        <v>185</v>
      </c>
      <c r="HZ97" s="174">
        <f t="shared" si="97"/>
        <v>175</v>
      </c>
      <c r="IA97" s="174">
        <f t="shared" si="98"/>
        <v>165</v>
      </c>
      <c r="IB97" s="174">
        <f t="shared" si="99"/>
        <v>250</v>
      </c>
      <c r="IC97" s="174">
        <f t="shared" si="100"/>
        <v>230</v>
      </c>
      <c r="ID97" s="174">
        <f t="shared" si="101"/>
        <v>155</v>
      </c>
      <c r="IE97" s="174">
        <f t="shared" si="102"/>
        <v>220</v>
      </c>
      <c r="IF97" s="174">
        <f t="shared" si="103"/>
        <v>155</v>
      </c>
      <c r="IG97" s="174">
        <f t="shared" si="104"/>
        <v>135</v>
      </c>
      <c r="IH97" s="174">
        <f t="shared" si="105"/>
        <v>125</v>
      </c>
      <c r="II97" s="174">
        <f t="shared" si="106"/>
        <v>105</v>
      </c>
      <c r="IJ97" s="174">
        <v>97</v>
      </c>
      <c r="IR97" s="174">
        <v>4250000</v>
      </c>
      <c r="IS97" s="174">
        <v>95</v>
      </c>
    </row>
    <row r="98" spans="1:253" ht="13.35" customHeight="1" x14ac:dyDescent="0.2">
      <c r="A98" s="183">
        <f t="shared" si="114"/>
        <v>97</v>
      </c>
      <c r="B98" s="184">
        <f t="shared" si="119"/>
        <v>8</v>
      </c>
      <c r="C98" s="183">
        <f t="shared" si="120"/>
        <v>139</v>
      </c>
      <c r="D98" s="174">
        <v>41</v>
      </c>
      <c r="E98" s="189" t="s">
        <v>752</v>
      </c>
      <c r="K98" s="174">
        <v>5</v>
      </c>
      <c r="L98" s="174">
        <v>5</v>
      </c>
      <c r="M98" s="174">
        <v>5</v>
      </c>
      <c r="N98" s="174">
        <v>5</v>
      </c>
      <c r="O98" s="174">
        <v>5</v>
      </c>
      <c r="P98" s="174">
        <v>5</v>
      </c>
      <c r="Q98" s="174">
        <v>5</v>
      </c>
      <c r="R98" s="174">
        <v>5</v>
      </c>
      <c r="S98" s="174">
        <v>5</v>
      </c>
      <c r="AA98" s="174">
        <v>5</v>
      </c>
      <c r="AB98" s="174">
        <v>5</v>
      </c>
      <c r="AD98" s="174">
        <v>5</v>
      </c>
      <c r="AF98" s="174">
        <v>5</v>
      </c>
      <c r="AG98" s="174">
        <v>5</v>
      </c>
      <c r="AK98" s="174">
        <v>5</v>
      </c>
      <c r="AL98" s="174">
        <v>5</v>
      </c>
      <c r="AM98" s="174">
        <v>5</v>
      </c>
      <c r="AO98" s="174">
        <v>5</v>
      </c>
      <c r="AP98" s="174">
        <v>5</v>
      </c>
      <c r="AS98" s="174">
        <v>5</v>
      </c>
      <c r="AT98" s="174">
        <v>5</v>
      </c>
      <c r="AU98" s="174">
        <v>5</v>
      </c>
      <c r="AV98" s="174">
        <v>5</v>
      </c>
      <c r="AW98" s="174">
        <v>5</v>
      </c>
      <c r="AX98" s="174">
        <v>5</v>
      </c>
      <c r="AY98" s="174">
        <v>5</v>
      </c>
      <c r="AZ98" s="174">
        <v>5</v>
      </c>
      <c r="BA98" s="174">
        <v>5</v>
      </c>
      <c r="BB98" s="174">
        <v>5</v>
      </c>
      <c r="BC98" s="174">
        <v>10</v>
      </c>
      <c r="BD98" s="174">
        <v>10</v>
      </c>
      <c r="BE98" s="174">
        <v>10</v>
      </c>
      <c r="BF98" s="174">
        <v>5</v>
      </c>
      <c r="BG98" s="174">
        <v>10</v>
      </c>
      <c r="BH98" s="174">
        <v>5</v>
      </c>
      <c r="BI98" s="174">
        <v>5</v>
      </c>
      <c r="BJ98" s="174">
        <v>5</v>
      </c>
      <c r="BK98" s="174">
        <v>5</v>
      </c>
      <c r="BL98" s="174">
        <v>5</v>
      </c>
      <c r="BM98" s="174">
        <v>5</v>
      </c>
      <c r="BN98" s="174">
        <v>5</v>
      </c>
      <c r="BO98" s="174">
        <v>5</v>
      </c>
      <c r="BP98" s="174">
        <v>5</v>
      </c>
      <c r="BQ98" s="174">
        <v>5</v>
      </c>
      <c r="BR98" s="174">
        <v>10</v>
      </c>
      <c r="BS98" s="174">
        <v>10</v>
      </c>
      <c r="BT98" s="174">
        <v>10</v>
      </c>
      <c r="BU98" s="174">
        <v>5</v>
      </c>
      <c r="BV98" s="174">
        <v>5</v>
      </c>
      <c r="BX98" s="174">
        <v>5</v>
      </c>
      <c r="BY98" s="174">
        <v>5</v>
      </c>
      <c r="BZ98" s="174">
        <v>5</v>
      </c>
      <c r="CA98" s="174">
        <v>5</v>
      </c>
      <c r="CB98" s="174">
        <v>5</v>
      </c>
      <c r="CC98" s="174">
        <v>5</v>
      </c>
      <c r="CD98" s="174">
        <v>5</v>
      </c>
      <c r="CE98" s="174">
        <v>10</v>
      </c>
      <c r="CF98" s="174">
        <v>5</v>
      </c>
      <c r="CG98" s="174">
        <v>5</v>
      </c>
      <c r="CH98" s="174">
        <v>5</v>
      </c>
      <c r="CI98" s="174">
        <v>5</v>
      </c>
      <c r="CJ98" s="174">
        <v>5</v>
      </c>
      <c r="CK98" s="174">
        <v>5</v>
      </c>
      <c r="CL98" s="174">
        <v>5</v>
      </c>
      <c r="CM98" s="174">
        <v>5</v>
      </c>
      <c r="CN98" s="174">
        <v>5</v>
      </c>
      <c r="CO98" s="174">
        <v>5</v>
      </c>
      <c r="CP98" s="174">
        <v>5</v>
      </c>
      <c r="CQ98" s="174">
        <v>5</v>
      </c>
      <c r="CX98" s="174">
        <v>5</v>
      </c>
      <c r="CY98" s="174">
        <v>5</v>
      </c>
      <c r="CZ98" s="174">
        <v>5</v>
      </c>
      <c r="DB98" s="174">
        <v>5</v>
      </c>
      <c r="DC98" s="174">
        <v>5</v>
      </c>
      <c r="DD98" s="174">
        <v>5</v>
      </c>
      <c r="EE98" s="203">
        <v>1.1462000000000012</v>
      </c>
      <c r="EF98" s="174">
        <v>-25</v>
      </c>
      <c r="EH98" s="174">
        <v>28.001000000000001</v>
      </c>
      <c r="EI98" s="174">
        <v>-224</v>
      </c>
      <c r="EP98" s="174" t="s">
        <v>4390</v>
      </c>
      <c r="EQ98" s="174" t="s">
        <v>4392</v>
      </c>
      <c r="ER98" s="174" t="s">
        <v>675</v>
      </c>
      <c r="ET98" s="174" t="s">
        <v>4336</v>
      </c>
      <c r="EV98" s="174" t="s">
        <v>677</v>
      </c>
      <c r="EW98" s="174" t="s">
        <v>1361</v>
      </c>
      <c r="EX98" s="174" t="s">
        <v>1232</v>
      </c>
      <c r="EY98" s="174" t="s">
        <v>524</v>
      </c>
      <c r="EZ98" s="174" t="s">
        <v>469</v>
      </c>
      <c r="FD98" s="174" t="s">
        <v>1380</v>
      </c>
      <c r="FE98" s="174" t="s">
        <v>1359</v>
      </c>
      <c r="FF98" s="174" t="s">
        <v>616</v>
      </c>
      <c r="FH98" s="174" t="s">
        <v>510</v>
      </c>
      <c r="FI98" s="174" t="s">
        <v>4280</v>
      </c>
      <c r="FJ98" s="174" t="s">
        <v>1334</v>
      </c>
      <c r="FM98" s="174" t="s">
        <v>1307</v>
      </c>
      <c r="FO98" s="174" t="s">
        <v>524</v>
      </c>
      <c r="FQ98" s="174" t="s">
        <v>621</v>
      </c>
      <c r="FS98" s="174" t="s">
        <v>1339</v>
      </c>
      <c r="FU98" s="174" t="s">
        <v>1334</v>
      </c>
      <c r="FW98" s="174" t="s">
        <v>1370</v>
      </c>
      <c r="FX98" s="174" t="s">
        <v>1334</v>
      </c>
      <c r="FY98" s="174" t="s">
        <v>491</v>
      </c>
      <c r="HA98" s="174">
        <v>29</v>
      </c>
      <c r="HB98" s="197">
        <v>95</v>
      </c>
      <c r="HC98" s="194">
        <v>68</v>
      </c>
      <c r="HD98" s="238">
        <v>93</v>
      </c>
      <c r="HE98" s="236">
        <v>25</v>
      </c>
      <c r="HF98" s="183">
        <v>160</v>
      </c>
      <c r="HG98" s="193">
        <f t="shared" si="116"/>
        <v>155</v>
      </c>
      <c r="HH98" s="192" t="e">
        <f t="shared" si="117"/>
        <v>#REF!</v>
      </c>
      <c r="HI98" s="198">
        <v>25</v>
      </c>
      <c r="HJ98" s="185">
        <v>137.5</v>
      </c>
      <c r="HK98" s="174">
        <v>96</v>
      </c>
      <c r="HL98" s="174">
        <f t="shared" ref="HL98:HL161" si="121">HL97+4</f>
        <v>454</v>
      </c>
      <c r="HM98" s="174">
        <f t="shared" ref="HM98:HM161" si="122">HM97+4</f>
        <v>444</v>
      </c>
      <c r="HN98" s="174">
        <f t="shared" ref="HN98:HN161" si="123">HN97+3</f>
        <v>358</v>
      </c>
      <c r="HO98" s="174">
        <f t="shared" ref="HO98:HO161" si="124">HO97+2</f>
        <v>282</v>
      </c>
      <c r="HP98" s="174">
        <f t="shared" ref="HP98:HP161" si="125">HP97+1</f>
        <v>216</v>
      </c>
      <c r="HQ98" s="174">
        <f t="shared" ref="HQ98:HQ161" si="126">HQ97+1</f>
        <v>206</v>
      </c>
      <c r="HR98" s="174">
        <f t="shared" ref="HR98:HR161" si="127">HR97+1</f>
        <v>206</v>
      </c>
      <c r="HS98" s="174">
        <f t="shared" ref="HS98:HS161" si="128">HS97+1</f>
        <v>196</v>
      </c>
      <c r="HT98" s="174">
        <f t="shared" ref="HT98:HT161" si="129">HT97+1</f>
        <v>186</v>
      </c>
      <c r="HU98" s="174">
        <f t="shared" ref="HU98:HU161" si="130">HU97+3</f>
        <v>348</v>
      </c>
      <c r="HV98" s="174">
        <f t="shared" ref="HV98:HV161" si="131">HV97+1</f>
        <v>206</v>
      </c>
      <c r="HW98" s="174">
        <f t="shared" ref="HW98:HW161" si="132">HW97+1</f>
        <v>196</v>
      </c>
      <c r="HX98" s="174">
        <f t="shared" ref="HX98:HX161" si="133">HX97+2</f>
        <v>262</v>
      </c>
      <c r="HY98" s="174">
        <f t="shared" ref="HY98:HY161" si="134">HY97+1</f>
        <v>186</v>
      </c>
      <c r="HZ98" s="174">
        <f t="shared" ref="HZ98:HZ161" si="135">HZ97+1</f>
        <v>176</v>
      </c>
      <c r="IA98" s="174">
        <f t="shared" ref="IA98:IA161" si="136">IA97+1</f>
        <v>166</v>
      </c>
      <c r="IB98" s="174">
        <f t="shared" ref="IB98:IB161" si="137">IB97+2</f>
        <v>252</v>
      </c>
      <c r="IC98" s="174">
        <f t="shared" ref="IC98:IC161" si="138">IC97+2</f>
        <v>232</v>
      </c>
      <c r="ID98" s="174">
        <f t="shared" ref="ID98:ID161" si="139">ID97+1</f>
        <v>156</v>
      </c>
      <c r="IE98" s="174">
        <f t="shared" ref="IE98:IE161" si="140">IE97+2</f>
        <v>222</v>
      </c>
      <c r="IF98" s="174">
        <f t="shared" ref="IF98:IF161" si="141">IF97+1</f>
        <v>156</v>
      </c>
      <c r="IG98" s="174">
        <f t="shared" ref="IG98:IG161" si="142">IG97+1</f>
        <v>136</v>
      </c>
      <c r="IH98" s="174">
        <f t="shared" ref="IH98:IH161" si="143">IH97+1</f>
        <v>126</v>
      </c>
      <c r="II98" s="174">
        <f t="shared" ref="II98:II161" si="144">II97+1</f>
        <v>106</v>
      </c>
      <c r="IJ98" s="174">
        <v>98</v>
      </c>
      <c r="IR98" s="174">
        <v>4300000</v>
      </c>
      <c r="IS98" s="174">
        <v>96</v>
      </c>
    </row>
    <row r="99" spans="1:253" ht="13.35" customHeight="1" x14ac:dyDescent="0.2">
      <c r="A99" s="183">
        <f t="shared" ref="A99:A130" si="145">A98+1</f>
        <v>98</v>
      </c>
      <c r="B99" s="184">
        <f t="shared" si="119"/>
        <v>9</v>
      </c>
      <c r="C99" s="183">
        <f t="shared" si="120"/>
        <v>154</v>
      </c>
      <c r="D99" s="174">
        <v>42</v>
      </c>
      <c r="E99" s="189" t="s">
        <v>754</v>
      </c>
      <c r="K99" s="174">
        <v>5</v>
      </c>
      <c r="L99" s="174">
        <v>5</v>
      </c>
      <c r="M99" s="174">
        <v>5</v>
      </c>
      <c r="N99" s="174">
        <v>5</v>
      </c>
      <c r="O99" s="174">
        <v>5</v>
      </c>
      <c r="P99" s="174">
        <v>5</v>
      </c>
      <c r="Q99" s="174">
        <v>5</v>
      </c>
      <c r="R99" s="174">
        <v>5</v>
      </c>
      <c r="S99" s="174">
        <v>5</v>
      </c>
      <c r="AA99" s="174">
        <v>5</v>
      </c>
      <c r="AB99" s="174">
        <v>5</v>
      </c>
      <c r="AD99" s="174">
        <v>5</v>
      </c>
      <c r="AF99" s="174">
        <v>5</v>
      </c>
      <c r="AG99" s="174">
        <v>5</v>
      </c>
      <c r="AK99" s="174">
        <v>5</v>
      </c>
      <c r="AL99" s="174">
        <v>5</v>
      </c>
      <c r="AM99" s="174">
        <v>5</v>
      </c>
      <c r="AO99" s="174">
        <v>5</v>
      </c>
      <c r="AP99" s="174">
        <v>5</v>
      </c>
      <c r="AS99" s="174">
        <v>5</v>
      </c>
      <c r="AT99" s="174">
        <v>5</v>
      </c>
      <c r="AU99" s="174">
        <v>5</v>
      </c>
      <c r="AV99" s="174">
        <v>5</v>
      </c>
      <c r="AW99" s="174">
        <v>5</v>
      </c>
      <c r="AX99" s="174">
        <v>5</v>
      </c>
      <c r="AY99" s="174">
        <v>5</v>
      </c>
      <c r="AZ99" s="174">
        <v>5</v>
      </c>
      <c r="BA99" s="174">
        <v>5</v>
      </c>
      <c r="BB99" s="174">
        <v>5</v>
      </c>
      <c r="BC99" s="174">
        <v>10</v>
      </c>
      <c r="BD99" s="174">
        <v>10</v>
      </c>
      <c r="BE99" s="174">
        <v>10</v>
      </c>
      <c r="BF99" s="174">
        <v>5</v>
      </c>
      <c r="BG99" s="174">
        <v>10</v>
      </c>
      <c r="BH99" s="174">
        <v>5</v>
      </c>
      <c r="BI99" s="174">
        <v>5</v>
      </c>
      <c r="BJ99" s="174">
        <v>5</v>
      </c>
      <c r="BK99" s="174">
        <v>5</v>
      </c>
      <c r="BL99" s="174">
        <v>5</v>
      </c>
      <c r="BM99" s="174">
        <v>5</v>
      </c>
      <c r="BN99" s="174">
        <v>5</v>
      </c>
      <c r="BO99" s="174">
        <v>5</v>
      </c>
      <c r="BP99" s="174">
        <v>5</v>
      </c>
      <c r="BQ99" s="174">
        <v>5</v>
      </c>
      <c r="BR99" s="174">
        <v>10</v>
      </c>
      <c r="BS99" s="174">
        <v>10</v>
      </c>
      <c r="BT99" s="174">
        <v>10</v>
      </c>
      <c r="BU99" s="174">
        <v>5</v>
      </c>
      <c r="BV99" s="174">
        <v>5</v>
      </c>
      <c r="BX99" s="174">
        <v>5</v>
      </c>
      <c r="BY99" s="174">
        <v>5</v>
      </c>
      <c r="BZ99" s="174">
        <v>5</v>
      </c>
      <c r="CA99" s="174">
        <v>5</v>
      </c>
      <c r="CB99" s="174">
        <v>5</v>
      </c>
      <c r="CC99" s="174">
        <v>5</v>
      </c>
      <c r="CD99" s="174">
        <v>5</v>
      </c>
      <c r="CE99" s="174">
        <v>10</v>
      </c>
      <c r="CF99" s="174">
        <v>5</v>
      </c>
      <c r="CG99" s="174">
        <v>5</v>
      </c>
      <c r="CH99" s="174">
        <v>5</v>
      </c>
      <c r="CI99" s="174">
        <v>5</v>
      </c>
      <c r="CJ99" s="174">
        <v>5</v>
      </c>
      <c r="CK99" s="174">
        <v>5</v>
      </c>
      <c r="CL99" s="174">
        <v>5</v>
      </c>
      <c r="CM99" s="174">
        <v>5</v>
      </c>
      <c r="CN99" s="174">
        <v>5</v>
      </c>
      <c r="CO99" s="174">
        <v>5</v>
      </c>
      <c r="CP99" s="174">
        <v>5</v>
      </c>
      <c r="CQ99" s="174">
        <v>5</v>
      </c>
      <c r="CX99" s="174">
        <v>5</v>
      </c>
      <c r="CY99" s="174">
        <v>5</v>
      </c>
      <c r="CZ99" s="174">
        <v>5</v>
      </c>
      <c r="DB99" s="174">
        <v>5</v>
      </c>
      <c r="DC99" s="174">
        <v>5</v>
      </c>
      <c r="DD99" s="174">
        <v>5</v>
      </c>
      <c r="EE99" s="203">
        <v>1.1716000000000013</v>
      </c>
      <c r="EF99" s="174">
        <v>-20</v>
      </c>
      <c r="EH99" s="174">
        <v>29.001000000000001</v>
      </c>
      <c r="EI99" s="174">
        <v>-232</v>
      </c>
      <c r="EP99" s="174" t="s">
        <v>4391</v>
      </c>
      <c r="ER99" s="174" t="s">
        <v>677</v>
      </c>
      <c r="ET99" s="174" t="s">
        <v>4333</v>
      </c>
      <c r="EV99" s="174" t="s">
        <v>1307</v>
      </c>
      <c r="EW99" s="174" t="s">
        <v>452</v>
      </c>
      <c r="EX99" s="174" t="s">
        <v>4333</v>
      </c>
      <c r="EY99" s="174" t="s">
        <v>422</v>
      </c>
      <c r="EZ99" s="174" t="s">
        <v>536</v>
      </c>
      <c r="FD99" s="234" t="s">
        <v>4211</v>
      </c>
      <c r="FE99" s="174" t="s">
        <v>423</v>
      </c>
      <c r="FF99" s="174" t="s">
        <v>1372</v>
      </c>
      <c r="FH99" s="174" t="s">
        <v>553</v>
      </c>
      <c r="FJ99" s="174" t="s">
        <v>606</v>
      </c>
      <c r="FM99" s="174" t="s">
        <v>452</v>
      </c>
      <c r="FO99" s="174" t="s">
        <v>450</v>
      </c>
      <c r="FQ99" s="174" t="s">
        <v>1334</v>
      </c>
      <c r="FS99" s="174" t="s">
        <v>422</v>
      </c>
      <c r="FU99" s="174" t="s">
        <v>606</v>
      </c>
      <c r="FW99" s="174" t="s">
        <v>1373</v>
      </c>
      <c r="FX99" s="174" t="s">
        <v>606</v>
      </c>
      <c r="FY99" s="174" t="s">
        <v>678</v>
      </c>
      <c r="HA99" s="174">
        <v>30</v>
      </c>
      <c r="HB99" s="197">
        <v>96</v>
      </c>
      <c r="HC99" s="194">
        <v>68</v>
      </c>
      <c r="HD99" s="238">
        <v>93</v>
      </c>
      <c r="HE99" s="236">
        <v>25</v>
      </c>
      <c r="HF99" s="183">
        <v>161</v>
      </c>
      <c r="HG99" s="193">
        <f t="shared" si="116"/>
        <v>156</v>
      </c>
      <c r="HH99" s="192" t="e">
        <f t="shared" si="117"/>
        <v>#REF!</v>
      </c>
      <c r="HI99" s="198">
        <v>25</v>
      </c>
      <c r="HJ99" s="185">
        <v>138</v>
      </c>
      <c r="HK99" s="174">
        <v>97</v>
      </c>
      <c r="HL99" s="174">
        <f t="shared" si="121"/>
        <v>458</v>
      </c>
      <c r="HM99" s="174">
        <f t="shared" si="122"/>
        <v>448</v>
      </c>
      <c r="HN99" s="174">
        <f t="shared" si="123"/>
        <v>361</v>
      </c>
      <c r="HO99" s="174">
        <f t="shared" si="124"/>
        <v>284</v>
      </c>
      <c r="HP99" s="174">
        <f t="shared" si="125"/>
        <v>217</v>
      </c>
      <c r="HQ99" s="174">
        <f t="shared" si="126"/>
        <v>207</v>
      </c>
      <c r="HR99" s="174">
        <f t="shared" si="127"/>
        <v>207</v>
      </c>
      <c r="HS99" s="174">
        <f t="shared" si="128"/>
        <v>197</v>
      </c>
      <c r="HT99" s="174">
        <f t="shared" si="129"/>
        <v>187</v>
      </c>
      <c r="HU99" s="174">
        <f t="shared" si="130"/>
        <v>351</v>
      </c>
      <c r="HV99" s="174">
        <f t="shared" si="131"/>
        <v>207</v>
      </c>
      <c r="HW99" s="174">
        <f t="shared" si="132"/>
        <v>197</v>
      </c>
      <c r="HX99" s="174">
        <f t="shared" si="133"/>
        <v>264</v>
      </c>
      <c r="HY99" s="174">
        <f t="shared" si="134"/>
        <v>187</v>
      </c>
      <c r="HZ99" s="174">
        <f t="shared" si="135"/>
        <v>177</v>
      </c>
      <c r="IA99" s="174">
        <f t="shared" si="136"/>
        <v>167</v>
      </c>
      <c r="IB99" s="174">
        <f t="shared" si="137"/>
        <v>254</v>
      </c>
      <c r="IC99" s="174">
        <f t="shared" si="138"/>
        <v>234</v>
      </c>
      <c r="ID99" s="174">
        <f t="shared" si="139"/>
        <v>157</v>
      </c>
      <c r="IE99" s="174">
        <f t="shared" si="140"/>
        <v>224</v>
      </c>
      <c r="IF99" s="174">
        <f t="shared" si="141"/>
        <v>157</v>
      </c>
      <c r="IG99" s="174">
        <f t="shared" si="142"/>
        <v>137</v>
      </c>
      <c r="IH99" s="174">
        <f t="shared" si="143"/>
        <v>127</v>
      </c>
      <c r="II99" s="174">
        <f t="shared" si="144"/>
        <v>107</v>
      </c>
      <c r="IJ99" s="174">
        <v>99</v>
      </c>
      <c r="IR99" s="174">
        <v>4350000</v>
      </c>
      <c r="IS99" s="174">
        <v>97</v>
      </c>
    </row>
    <row r="100" spans="1:253" ht="13.35" customHeight="1" x14ac:dyDescent="0.2">
      <c r="A100" s="183">
        <f t="shared" si="145"/>
        <v>99</v>
      </c>
      <c r="B100" s="184">
        <f t="shared" si="119"/>
        <v>9</v>
      </c>
      <c r="C100" s="183">
        <f t="shared" si="120"/>
        <v>171</v>
      </c>
      <c r="D100" s="174">
        <v>43</v>
      </c>
      <c r="E100" s="189" t="s">
        <v>753</v>
      </c>
      <c r="K100" s="174">
        <v>5</v>
      </c>
      <c r="L100" s="174">
        <v>5</v>
      </c>
      <c r="M100" s="174">
        <v>5</v>
      </c>
      <c r="N100" s="174">
        <v>5</v>
      </c>
      <c r="O100" s="174">
        <v>5</v>
      </c>
      <c r="P100" s="174">
        <v>5</v>
      </c>
      <c r="Q100" s="174">
        <v>5</v>
      </c>
      <c r="R100" s="174">
        <v>5</v>
      </c>
      <c r="S100" s="174">
        <v>5</v>
      </c>
      <c r="AA100" s="174">
        <v>5</v>
      </c>
      <c r="AB100" s="174">
        <v>5</v>
      </c>
      <c r="AD100" s="174">
        <v>5</v>
      </c>
      <c r="AF100" s="174">
        <v>5</v>
      </c>
      <c r="AG100" s="174">
        <v>5</v>
      </c>
      <c r="AK100" s="174">
        <v>5</v>
      </c>
      <c r="AL100" s="174">
        <v>5</v>
      </c>
      <c r="AM100" s="174">
        <v>5</v>
      </c>
      <c r="AO100" s="174">
        <v>5</v>
      </c>
      <c r="AP100" s="174">
        <v>5</v>
      </c>
      <c r="AS100" s="174">
        <v>5</v>
      </c>
      <c r="AT100" s="174">
        <v>5</v>
      </c>
      <c r="AU100" s="174">
        <v>5</v>
      </c>
      <c r="AV100" s="174">
        <v>5</v>
      </c>
      <c r="AW100" s="174">
        <v>5</v>
      </c>
      <c r="AX100" s="174">
        <v>5</v>
      </c>
      <c r="AY100" s="174">
        <v>5</v>
      </c>
      <c r="AZ100" s="174">
        <v>5</v>
      </c>
      <c r="BA100" s="174">
        <v>5</v>
      </c>
      <c r="BB100" s="174">
        <v>5</v>
      </c>
      <c r="BC100" s="174">
        <v>10</v>
      </c>
      <c r="BD100" s="174">
        <v>10</v>
      </c>
      <c r="BE100" s="174">
        <v>10</v>
      </c>
      <c r="BF100" s="174">
        <v>5</v>
      </c>
      <c r="BG100" s="174">
        <v>10</v>
      </c>
      <c r="BH100" s="174">
        <v>5</v>
      </c>
      <c r="BI100" s="174">
        <v>5</v>
      </c>
      <c r="BJ100" s="174">
        <v>5</v>
      </c>
      <c r="BK100" s="174">
        <v>5</v>
      </c>
      <c r="BL100" s="174">
        <v>5</v>
      </c>
      <c r="BM100" s="174">
        <v>5</v>
      </c>
      <c r="BN100" s="174">
        <v>5</v>
      </c>
      <c r="BO100" s="174">
        <v>5</v>
      </c>
      <c r="BP100" s="174">
        <v>5</v>
      </c>
      <c r="BQ100" s="174">
        <v>5</v>
      </c>
      <c r="BR100" s="174">
        <v>10</v>
      </c>
      <c r="BS100" s="174">
        <v>10</v>
      </c>
      <c r="BT100" s="174">
        <v>10</v>
      </c>
      <c r="BU100" s="174">
        <v>5</v>
      </c>
      <c r="BV100" s="174">
        <v>5</v>
      </c>
      <c r="BX100" s="174">
        <v>5</v>
      </c>
      <c r="BY100" s="174">
        <v>5</v>
      </c>
      <c r="BZ100" s="174">
        <v>5</v>
      </c>
      <c r="CA100" s="174">
        <v>5</v>
      </c>
      <c r="CB100" s="174">
        <v>5</v>
      </c>
      <c r="CC100" s="174">
        <v>5</v>
      </c>
      <c r="CD100" s="174">
        <v>5</v>
      </c>
      <c r="CE100" s="174">
        <v>10</v>
      </c>
      <c r="CF100" s="174">
        <v>5</v>
      </c>
      <c r="CG100" s="174">
        <v>5</v>
      </c>
      <c r="CH100" s="174">
        <v>5</v>
      </c>
      <c r="CI100" s="174">
        <v>5</v>
      </c>
      <c r="CJ100" s="174">
        <v>5</v>
      </c>
      <c r="CK100" s="174">
        <v>5</v>
      </c>
      <c r="CL100" s="174">
        <v>5</v>
      </c>
      <c r="CM100" s="174">
        <v>5</v>
      </c>
      <c r="CN100" s="174">
        <v>5</v>
      </c>
      <c r="CO100" s="174">
        <v>5</v>
      </c>
      <c r="CP100" s="174">
        <v>5</v>
      </c>
      <c r="CQ100" s="174">
        <v>5</v>
      </c>
      <c r="CX100" s="174">
        <v>5</v>
      </c>
      <c r="CY100" s="174">
        <v>5</v>
      </c>
      <c r="CZ100" s="174">
        <v>5</v>
      </c>
      <c r="DB100" s="174">
        <v>5</v>
      </c>
      <c r="DC100" s="174">
        <v>5</v>
      </c>
      <c r="DD100" s="174">
        <v>5</v>
      </c>
      <c r="DH100" s="174" t="s">
        <v>1364</v>
      </c>
      <c r="EE100" s="203">
        <v>1.1970000000000014</v>
      </c>
      <c r="EF100" s="174">
        <v>-20</v>
      </c>
      <c r="EH100" s="174">
        <v>30.001000000000001</v>
      </c>
      <c r="EI100" s="174">
        <v>-240</v>
      </c>
      <c r="EP100" s="174" t="s">
        <v>4392</v>
      </c>
      <c r="ER100" s="174" t="s">
        <v>661</v>
      </c>
      <c r="EV100" s="174" t="s">
        <v>452</v>
      </c>
      <c r="EW100" s="174" t="s">
        <v>1232</v>
      </c>
      <c r="EY100" s="174" t="s">
        <v>677</v>
      </c>
      <c r="EZ100" s="174" t="s">
        <v>524</v>
      </c>
      <c r="FD100" s="174" t="s">
        <v>4212</v>
      </c>
      <c r="FE100" s="174" t="s">
        <v>491</v>
      </c>
      <c r="FF100" s="174" t="s">
        <v>1375</v>
      </c>
      <c r="FH100" s="174" t="s">
        <v>487</v>
      </c>
      <c r="FJ100" s="174" t="s">
        <v>433</v>
      </c>
      <c r="FM100" s="174" t="s">
        <v>423</v>
      </c>
      <c r="FO100" s="174" t="s">
        <v>677</v>
      </c>
      <c r="FQ100" s="174" t="s">
        <v>606</v>
      </c>
      <c r="FS100" s="174" t="s">
        <v>677</v>
      </c>
      <c r="FU100" s="174" t="s">
        <v>433</v>
      </c>
      <c r="FW100" s="174" t="s">
        <v>1189</v>
      </c>
      <c r="FX100" s="174" t="s">
        <v>433</v>
      </c>
      <c r="FY100" s="174" t="s">
        <v>1179</v>
      </c>
      <c r="HA100" s="174">
        <v>31</v>
      </c>
      <c r="HB100" s="197">
        <v>97</v>
      </c>
      <c r="HC100" s="194">
        <v>69</v>
      </c>
      <c r="HD100" s="238">
        <v>94</v>
      </c>
      <c r="HE100" s="236">
        <v>25</v>
      </c>
      <c r="HF100" s="183">
        <v>162</v>
      </c>
      <c r="HG100" s="193">
        <f t="shared" si="116"/>
        <v>157</v>
      </c>
      <c r="HH100" s="192" t="e">
        <f t="shared" ref="HH100:HH131" si="146">HLOOKUP($B$155,$HK$1:$IK$202,$IJ99,0)</f>
        <v>#REF!</v>
      </c>
      <c r="HI100" s="198">
        <v>25</v>
      </c>
      <c r="HJ100" s="185">
        <v>138.5</v>
      </c>
      <c r="HK100" s="174">
        <v>98</v>
      </c>
      <c r="HL100" s="174">
        <f t="shared" si="121"/>
        <v>462</v>
      </c>
      <c r="HM100" s="174">
        <f t="shared" si="122"/>
        <v>452</v>
      </c>
      <c r="HN100" s="174">
        <f t="shared" si="123"/>
        <v>364</v>
      </c>
      <c r="HO100" s="174">
        <f t="shared" si="124"/>
        <v>286</v>
      </c>
      <c r="HP100" s="174">
        <f t="shared" si="125"/>
        <v>218</v>
      </c>
      <c r="HQ100" s="174">
        <f t="shared" si="126"/>
        <v>208</v>
      </c>
      <c r="HR100" s="174">
        <f t="shared" si="127"/>
        <v>208</v>
      </c>
      <c r="HS100" s="174">
        <f t="shared" si="128"/>
        <v>198</v>
      </c>
      <c r="HT100" s="174">
        <f t="shared" si="129"/>
        <v>188</v>
      </c>
      <c r="HU100" s="174">
        <f t="shared" si="130"/>
        <v>354</v>
      </c>
      <c r="HV100" s="174">
        <f t="shared" si="131"/>
        <v>208</v>
      </c>
      <c r="HW100" s="174">
        <f t="shared" si="132"/>
        <v>198</v>
      </c>
      <c r="HX100" s="174">
        <f t="shared" si="133"/>
        <v>266</v>
      </c>
      <c r="HY100" s="174">
        <f t="shared" si="134"/>
        <v>188</v>
      </c>
      <c r="HZ100" s="174">
        <f t="shared" si="135"/>
        <v>178</v>
      </c>
      <c r="IA100" s="174">
        <f t="shared" si="136"/>
        <v>168</v>
      </c>
      <c r="IB100" s="174">
        <f t="shared" si="137"/>
        <v>256</v>
      </c>
      <c r="IC100" s="174">
        <f t="shared" si="138"/>
        <v>236</v>
      </c>
      <c r="ID100" s="174">
        <f t="shared" si="139"/>
        <v>158</v>
      </c>
      <c r="IE100" s="174">
        <f t="shared" si="140"/>
        <v>226</v>
      </c>
      <c r="IF100" s="174">
        <f t="shared" si="141"/>
        <v>158</v>
      </c>
      <c r="IG100" s="174">
        <f t="shared" si="142"/>
        <v>138</v>
      </c>
      <c r="IH100" s="174">
        <f t="shared" si="143"/>
        <v>128</v>
      </c>
      <c r="II100" s="174">
        <f t="shared" si="144"/>
        <v>108</v>
      </c>
      <c r="IJ100" s="174">
        <v>100</v>
      </c>
      <c r="IR100" s="174">
        <v>4400000</v>
      </c>
      <c r="IS100" s="174">
        <v>98</v>
      </c>
    </row>
    <row r="101" spans="1:253" ht="13.35" customHeight="1" x14ac:dyDescent="0.2">
      <c r="A101" s="183">
        <f t="shared" si="145"/>
        <v>100</v>
      </c>
      <c r="B101" s="184">
        <f t="shared" si="119"/>
        <v>10</v>
      </c>
      <c r="C101" s="183">
        <f t="shared" si="120"/>
        <v>190</v>
      </c>
      <c r="D101" s="174">
        <v>44</v>
      </c>
      <c r="E101" s="189" t="s">
        <v>660</v>
      </c>
      <c r="G101" s="174">
        <v>15</v>
      </c>
      <c r="H101" s="174">
        <v>10</v>
      </c>
      <c r="W101" s="174">
        <v>5</v>
      </c>
      <c r="Y101" s="174">
        <v>5</v>
      </c>
      <c r="AD101" s="174">
        <v>5</v>
      </c>
      <c r="BB101" s="174">
        <v>15</v>
      </c>
      <c r="BE101" s="174">
        <v>5</v>
      </c>
      <c r="BJ101" s="174">
        <v>5</v>
      </c>
      <c r="BW101" s="174">
        <v>5</v>
      </c>
      <c r="DH101" s="174" t="s">
        <v>1367</v>
      </c>
      <c r="EE101" s="203">
        <v>1.2224000000000013</v>
      </c>
      <c r="EF101" s="174">
        <v>-20</v>
      </c>
      <c r="ER101" s="174" t="s">
        <v>4334</v>
      </c>
      <c r="EV101" s="174" t="s">
        <v>423</v>
      </c>
      <c r="EW101" s="174" t="s">
        <v>1371</v>
      </c>
      <c r="EY101" s="174" t="s">
        <v>1307</v>
      </c>
      <c r="EZ101" s="174" t="s">
        <v>422</v>
      </c>
      <c r="FE101" s="174" t="s">
        <v>616</v>
      </c>
      <c r="FF101" s="174" t="s">
        <v>1376</v>
      </c>
      <c r="FH101" s="174" t="s">
        <v>1368</v>
      </c>
      <c r="FJ101" s="174" t="s">
        <v>554</v>
      </c>
      <c r="FM101" s="174" t="s">
        <v>1302</v>
      </c>
      <c r="FO101" s="174" t="s">
        <v>1307</v>
      </c>
      <c r="FQ101" s="174" t="s">
        <v>433</v>
      </c>
      <c r="FS101" s="174" t="s">
        <v>1359</v>
      </c>
      <c r="FU101" s="174" t="s">
        <v>554</v>
      </c>
      <c r="FW101" s="174" t="s">
        <v>1209</v>
      </c>
      <c r="FX101" s="174" t="s">
        <v>554</v>
      </c>
      <c r="FY101" s="174" t="s">
        <v>1141</v>
      </c>
      <c r="HA101" s="174">
        <v>32</v>
      </c>
      <c r="HB101" s="197">
        <v>98</v>
      </c>
      <c r="HC101" s="194">
        <v>69</v>
      </c>
      <c r="HD101" s="238">
        <v>94</v>
      </c>
      <c r="HE101" s="236">
        <v>25</v>
      </c>
      <c r="HF101" s="183">
        <v>163</v>
      </c>
      <c r="HG101" s="193">
        <f t="shared" si="116"/>
        <v>158</v>
      </c>
      <c r="HH101" s="192" t="e">
        <f t="shared" si="146"/>
        <v>#REF!</v>
      </c>
      <c r="HI101" s="198">
        <v>25</v>
      </c>
      <c r="HJ101" s="185">
        <v>139</v>
      </c>
      <c r="HK101" s="174">
        <v>99</v>
      </c>
      <c r="HL101" s="174">
        <f t="shared" si="121"/>
        <v>466</v>
      </c>
      <c r="HM101" s="174">
        <f t="shared" si="122"/>
        <v>456</v>
      </c>
      <c r="HN101" s="174">
        <f t="shared" si="123"/>
        <v>367</v>
      </c>
      <c r="HO101" s="174">
        <f t="shared" si="124"/>
        <v>288</v>
      </c>
      <c r="HP101" s="174">
        <f t="shared" si="125"/>
        <v>219</v>
      </c>
      <c r="HQ101" s="174">
        <f t="shared" si="126"/>
        <v>209</v>
      </c>
      <c r="HR101" s="174">
        <f t="shared" si="127"/>
        <v>209</v>
      </c>
      <c r="HS101" s="174">
        <f t="shared" si="128"/>
        <v>199</v>
      </c>
      <c r="HT101" s="174">
        <f t="shared" si="129"/>
        <v>189</v>
      </c>
      <c r="HU101" s="174">
        <f t="shared" si="130"/>
        <v>357</v>
      </c>
      <c r="HV101" s="174">
        <f t="shared" si="131"/>
        <v>209</v>
      </c>
      <c r="HW101" s="174">
        <f t="shared" si="132"/>
        <v>199</v>
      </c>
      <c r="HX101" s="174">
        <f t="shared" si="133"/>
        <v>268</v>
      </c>
      <c r="HY101" s="174">
        <f t="shared" si="134"/>
        <v>189</v>
      </c>
      <c r="HZ101" s="174">
        <f t="shared" si="135"/>
        <v>179</v>
      </c>
      <c r="IA101" s="174">
        <f t="shared" si="136"/>
        <v>169</v>
      </c>
      <c r="IB101" s="174">
        <f t="shared" si="137"/>
        <v>258</v>
      </c>
      <c r="IC101" s="174">
        <f t="shared" si="138"/>
        <v>238</v>
      </c>
      <c r="ID101" s="174">
        <f t="shared" si="139"/>
        <v>159</v>
      </c>
      <c r="IE101" s="174">
        <f t="shared" si="140"/>
        <v>228</v>
      </c>
      <c r="IF101" s="174">
        <f t="shared" si="141"/>
        <v>159</v>
      </c>
      <c r="IG101" s="174">
        <f t="shared" si="142"/>
        <v>139</v>
      </c>
      <c r="IH101" s="174">
        <f t="shared" si="143"/>
        <v>129</v>
      </c>
      <c r="II101" s="174">
        <f t="shared" si="144"/>
        <v>109</v>
      </c>
      <c r="IJ101" s="174">
        <v>101</v>
      </c>
      <c r="IR101" s="174">
        <v>4450000</v>
      </c>
      <c r="IS101" s="174">
        <v>99</v>
      </c>
    </row>
    <row r="102" spans="1:253" ht="13.35" customHeight="1" x14ac:dyDescent="0.2">
      <c r="A102" s="183">
        <f t="shared" si="145"/>
        <v>101</v>
      </c>
      <c r="B102" s="184">
        <f t="shared" ref="B102:B133" si="147">ROUND((A102-95)*2,0)</f>
        <v>12</v>
      </c>
      <c r="C102" s="183">
        <f t="shared" si="120"/>
        <v>211</v>
      </c>
      <c r="D102" s="174">
        <v>45</v>
      </c>
      <c r="E102" s="189" t="s">
        <v>663</v>
      </c>
      <c r="G102" s="174">
        <v>15</v>
      </c>
      <c r="H102" s="174">
        <v>10</v>
      </c>
      <c r="W102" s="174">
        <v>5</v>
      </c>
      <c r="Y102" s="174">
        <v>5</v>
      </c>
      <c r="AD102" s="174">
        <v>5</v>
      </c>
      <c r="BB102" s="174">
        <v>15</v>
      </c>
      <c r="BE102" s="174">
        <v>5</v>
      </c>
      <c r="BJ102" s="174">
        <v>5</v>
      </c>
      <c r="BW102" s="174">
        <v>5</v>
      </c>
      <c r="EE102" s="203">
        <v>1.2478000000000014</v>
      </c>
      <c r="EF102" s="174">
        <v>-20</v>
      </c>
      <c r="ER102" s="174" t="s">
        <v>4335</v>
      </c>
      <c r="EV102" s="174" t="s">
        <v>616</v>
      </c>
      <c r="EW102" s="174" t="s">
        <v>1141</v>
      </c>
      <c r="EY102" s="174" t="s">
        <v>452</v>
      </c>
      <c r="EZ102" s="174" t="s">
        <v>471</v>
      </c>
      <c r="FE102" s="174" t="s">
        <v>1372</v>
      </c>
      <c r="FF102" s="234" t="s">
        <v>1379</v>
      </c>
      <c r="FH102" s="174" t="s">
        <v>524</v>
      </c>
      <c r="FJ102" s="174" t="s">
        <v>1339</v>
      </c>
      <c r="FM102" s="174" t="s">
        <v>491</v>
      </c>
      <c r="FO102" s="174" t="s">
        <v>452</v>
      </c>
      <c r="FQ102" s="174" t="s">
        <v>554</v>
      </c>
      <c r="FS102" s="174" t="s">
        <v>1146</v>
      </c>
      <c r="FU102" s="174" t="s">
        <v>1339</v>
      </c>
      <c r="FW102" s="234" t="s">
        <v>4331</v>
      </c>
      <c r="FX102" s="174" t="s">
        <v>1339</v>
      </c>
      <c r="FY102" s="174" t="s">
        <v>4333</v>
      </c>
      <c r="HA102" s="174">
        <v>33</v>
      </c>
      <c r="HB102" s="197">
        <v>99</v>
      </c>
      <c r="HC102" s="194">
        <v>70</v>
      </c>
      <c r="HD102" s="238">
        <v>95</v>
      </c>
      <c r="HE102" s="236">
        <v>25</v>
      </c>
      <c r="HF102" s="183">
        <v>164</v>
      </c>
      <c r="HG102" s="193">
        <f t="shared" si="116"/>
        <v>159</v>
      </c>
      <c r="HH102" s="192" t="e">
        <f t="shared" si="146"/>
        <v>#REF!</v>
      </c>
      <c r="HI102" s="198">
        <v>25</v>
      </c>
      <c r="HJ102" s="185">
        <v>139.5</v>
      </c>
      <c r="HK102" s="182">
        <v>100</v>
      </c>
      <c r="HL102" s="174">
        <f t="shared" si="121"/>
        <v>470</v>
      </c>
      <c r="HM102" s="174">
        <f t="shared" si="122"/>
        <v>460</v>
      </c>
      <c r="HN102" s="174">
        <f t="shared" si="123"/>
        <v>370</v>
      </c>
      <c r="HO102" s="174">
        <f t="shared" si="124"/>
        <v>290</v>
      </c>
      <c r="HP102" s="174">
        <f t="shared" si="125"/>
        <v>220</v>
      </c>
      <c r="HQ102" s="174">
        <f t="shared" si="126"/>
        <v>210</v>
      </c>
      <c r="HR102" s="174">
        <f t="shared" si="127"/>
        <v>210</v>
      </c>
      <c r="HS102" s="174">
        <f t="shared" si="128"/>
        <v>200</v>
      </c>
      <c r="HT102" s="174">
        <f t="shared" si="129"/>
        <v>190</v>
      </c>
      <c r="HU102" s="174">
        <f t="shared" si="130"/>
        <v>360</v>
      </c>
      <c r="HV102" s="174">
        <f t="shared" si="131"/>
        <v>210</v>
      </c>
      <c r="HW102" s="174">
        <f t="shared" si="132"/>
        <v>200</v>
      </c>
      <c r="HX102" s="174">
        <f t="shared" si="133"/>
        <v>270</v>
      </c>
      <c r="HY102" s="174">
        <f t="shared" si="134"/>
        <v>190</v>
      </c>
      <c r="HZ102" s="174">
        <f t="shared" si="135"/>
        <v>180</v>
      </c>
      <c r="IA102" s="174">
        <f t="shared" si="136"/>
        <v>170</v>
      </c>
      <c r="IB102" s="174">
        <f t="shared" si="137"/>
        <v>260</v>
      </c>
      <c r="IC102" s="174">
        <f t="shared" si="138"/>
        <v>240</v>
      </c>
      <c r="ID102" s="174">
        <f t="shared" si="139"/>
        <v>160</v>
      </c>
      <c r="IE102" s="174">
        <f t="shared" si="140"/>
        <v>230</v>
      </c>
      <c r="IF102" s="174">
        <f t="shared" si="141"/>
        <v>160</v>
      </c>
      <c r="IG102" s="174">
        <f t="shared" si="142"/>
        <v>140</v>
      </c>
      <c r="IH102" s="174">
        <f t="shared" si="143"/>
        <v>130</v>
      </c>
      <c r="II102" s="174">
        <f t="shared" si="144"/>
        <v>110</v>
      </c>
      <c r="IJ102" s="182">
        <v>102</v>
      </c>
      <c r="IR102" s="174">
        <v>4500000</v>
      </c>
      <c r="IS102" s="174">
        <v>100</v>
      </c>
    </row>
    <row r="103" spans="1:253" ht="13.35" customHeight="1" x14ac:dyDescent="0.2">
      <c r="A103" s="183">
        <f t="shared" si="145"/>
        <v>102</v>
      </c>
      <c r="B103" s="184">
        <f t="shared" si="147"/>
        <v>14</v>
      </c>
      <c r="C103" s="183">
        <f t="shared" si="120"/>
        <v>234</v>
      </c>
      <c r="D103" s="174">
        <v>46</v>
      </c>
      <c r="E103" s="189" t="s">
        <v>674</v>
      </c>
      <c r="G103" s="174">
        <v>15</v>
      </c>
      <c r="H103" s="174">
        <v>10</v>
      </c>
      <c r="R103" s="174">
        <v>5</v>
      </c>
      <c r="T103" s="174">
        <v>5</v>
      </c>
      <c r="V103" s="174">
        <v>5</v>
      </c>
      <c r="W103" s="174">
        <v>5</v>
      </c>
      <c r="Y103" s="174">
        <v>5</v>
      </c>
      <c r="AD103" s="174">
        <v>5</v>
      </c>
      <c r="AK103" s="174">
        <v>5</v>
      </c>
      <c r="AQ103" s="174">
        <v>10</v>
      </c>
      <c r="AU103" s="174">
        <v>5</v>
      </c>
      <c r="BB103" s="174">
        <v>15</v>
      </c>
      <c r="BE103" s="174">
        <v>5</v>
      </c>
      <c r="BJ103" s="174">
        <v>5</v>
      </c>
      <c r="BW103" s="174">
        <v>5</v>
      </c>
      <c r="CS103" s="174">
        <v>5</v>
      </c>
      <c r="CT103" s="174">
        <v>10</v>
      </c>
      <c r="DA103" s="174">
        <v>5</v>
      </c>
      <c r="EE103" s="203">
        <v>1.2732000000000014</v>
      </c>
      <c r="EF103" s="174">
        <v>-20</v>
      </c>
      <c r="ER103" s="174" t="s">
        <v>4390</v>
      </c>
      <c r="EV103" s="174" t="s">
        <v>4333</v>
      </c>
      <c r="EW103" s="174" t="s">
        <v>1217</v>
      </c>
      <c r="EY103" s="174" t="s">
        <v>491</v>
      </c>
      <c r="EZ103" s="174" t="s">
        <v>472</v>
      </c>
      <c r="FE103" s="174" t="s">
        <v>1375</v>
      </c>
      <c r="FF103" s="174" t="s">
        <v>1380</v>
      </c>
      <c r="FH103" s="174" t="s">
        <v>422</v>
      </c>
      <c r="FJ103" s="174" t="s">
        <v>422</v>
      </c>
      <c r="FM103" s="174" t="s">
        <v>1179</v>
      </c>
      <c r="FO103" s="174" t="s">
        <v>491</v>
      </c>
      <c r="FQ103" s="174" t="s">
        <v>1339</v>
      </c>
      <c r="FS103" s="174" t="s">
        <v>1357</v>
      </c>
      <c r="FU103" s="174" t="s">
        <v>422</v>
      </c>
      <c r="FW103" s="174" t="s">
        <v>1126</v>
      </c>
      <c r="FX103" s="174" t="s">
        <v>422</v>
      </c>
      <c r="HA103" s="174">
        <v>34</v>
      </c>
      <c r="HB103" s="197">
        <v>100</v>
      </c>
      <c r="HC103" s="194">
        <v>70</v>
      </c>
      <c r="HD103" s="238">
        <v>95</v>
      </c>
      <c r="HE103" s="236">
        <v>25</v>
      </c>
      <c r="HF103" s="183">
        <v>165</v>
      </c>
      <c r="HG103" s="193">
        <f t="shared" si="116"/>
        <v>160</v>
      </c>
      <c r="HH103" s="192" t="e">
        <f t="shared" si="146"/>
        <v>#REF!</v>
      </c>
      <c r="HI103" s="198">
        <v>25</v>
      </c>
      <c r="HJ103" s="185">
        <v>140</v>
      </c>
      <c r="HK103" s="174">
        <v>101</v>
      </c>
      <c r="HL103" s="174">
        <f t="shared" si="121"/>
        <v>474</v>
      </c>
      <c r="HM103" s="174">
        <f t="shared" si="122"/>
        <v>464</v>
      </c>
      <c r="HN103" s="174">
        <f t="shared" si="123"/>
        <v>373</v>
      </c>
      <c r="HO103" s="174">
        <f t="shared" si="124"/>
        <v>292</v>
      </c>
      <c r="HP103" s="174">
        <f t="shared" si="125"/>
        <v>221</v>
      </c>
      <c r="HQ103" s="174">
        <f t="shared" si="126"/>
        <v>211</v>
      </c>
      <c r="HR103" s="174">
        <f t="shared" si="127"/>
        <v>211</v>
      </c>
      <c r="HS103" s="174">
        <f t="shared" si="128"/>
        <v>201</v>
      </c>
      <c r="HT103" s="174">
        <f t="shared" si="129"/>
        <v>191</v>
      </c>
      <c r="HU103" s="174">
        <f t="shared" si="130"/>
        <v>363</v>
      </c>
      <c r="HV103" s="174">
        <f t="shared" si="131"/>
        <v>211</v>
      </c>
      <c r="HW103" s="174">
        <f t="shared" si="132"/>
        <v>201</v>
      </c>
      <c r="HX103" s="174">
        <f t="shared" si="133"/>
        <v>272</v>
      </c>
      <c r="HY103" s="174">
        <f t="shared" si="134"/>
        <v>191</v>
      </c>
      <c r="HZ103" s="174">
        <f t="shared" si="135"/>
        <v>181</v>
      </c>
      <c r="IA103" s="174">
        <f t="shared" si="136"/>
        <v>171</v>
      </c>
      <c r="IB103" s="174">
        <f t="shared" si="137"/>
        <v>262</v>
      </c>
      <c r="IC103" s="174">
        <f t="shared" si="138"/>
        <v>242</v>
      </c>
      <c r="ID103" s="174">
        <f t="shared" si="139"/>
        <v>161</v>
      </c>
      <c r="IE103" s="174">
        <f t="shared" si="140"/>
        <v>232</v>
      </c>
      <c r="IF103" s="174">
        <f t="shared" si="141"/>
        <v>161</v>
      </c>
      <c r="IG103" s="174">
        <f t="shared" si="142"/>
        <v>141</v>
      </c>
      <c r="IH103" s="174">
        <f t="shared" si="143"/>
        <v>131</v>
      </c>
      <c r="II103" s="174">
        <f t="shared" si="144"/>
        <v>111</v>
      </c>
      <c r="IJ103" s="174">
        <v>103</v>
      </c>
    </row>
    <row r="104" spans="1:253" ht="13.35" customHeight="1" x14ac:dyDescent="0.2">
      <c r="A104" s="183">
        <f t="shared" si="145"/>
        <v>103</v>
      </c>
      <c r="B104" s="184">
        <f t="shared" si="147"/>
        <v>16</v>
      </c>
      <c r="C104" s="183">
        <f t="shared" si="120"/>
        <v>259</v>
      </c>
      <c r="D104" s="174">
        <v>47</v>
      </c>
      <c r="E104" s="189" t="s">
        <v>679</v>
      </c>
      <c r="J104" s="174">
        <v>5</v>
      </c>
      <c r="AG104" s="174">
        <v>5</v>
      </c>
      <c r="AZ104" s="174">
        <v>10</v>
      </c>
      <c r="BL104" s="174">
        <v>10</v>
      </c>
      <c r="CD104" s="174">
        <v>10</v>
      </c>
      <c r="CX104" s="174">
        <v>5</v>
      </c>
      <c r="EE104" s="203">
        <v>1.2986000000000015</v>
      </c>
      <c r="EF104" s="174">
        <v>-20</v>
      </c>
      <c r="ER104" s="174" t="s">
        <v>4391</v>
      </c>
      <c r="EW104" s="174" t="s">
        <v>4333</v>
      </c>
      <c r="EY104" s="174" t="s">
        <v>1232</v>
      </c>
      <c r="EZ104" s="174" t="s">
        <v>1378</v>
      </c>
      <c r="FE104" s="174" t="s">
        <v>1376</v>
      </c>
      <c r="FF104" s="234" t="s">
        <v>4211</v>
      </c>
      <c r="FH104" s="174" t="s">
        <v>677</v>
      </c>
      <c r="FJ104" s="174" t="s">
        <v>677</v>
      </c>
      <c r="FO104" s="174" t="s">
        <v>555</v>
      </c>
      <c r="FQ104" s="174" t="s">
        <v>422</v>
      </c>
      <c r="FS104" s="174" t="s">
        <v>555</v>
      </c>
      <c r="FU104" s="174" t="s">
        <v>677</v>
      </c>
      <c r="FX104" s="174" t="s">
        <v>677</v>
      </c>
      <c r="HA104" s="174">
        <v>35</v>
      </c>
      <c r="HB104" s="197">
        <v>101</v>
      </c>
      <c r="HC104" s="194">
        <v>71</v>
      </c>
      <c r="HD104" s="238">
        <v>95.5</v>
      </c>
      <c r="HE104" s="236">
        <v>25</v>
      </c>
      <c r="HF104" s="183">
        <v>166</v>
      </c>
      <c r="HG104" s="193">
        <f t="shared" si="116"/>
        <v>161</v>
      </c>
      <c r="HH104" s="192" t="e">
        <f t="shared" si="146"/>
        <v>#REF!</v>
      </c>
      <c r="HI104" s="198">
        <v>25</v>
      </c>
      <c r="HJ104" s="185">
        <v>140.5</v>
      </c>
      <c r="HK104" s="174">
        <v>102</v>
      </c>
      <c r="HL104" s="174">
        <f t="shared" si="121"/>
        <v>478</v>
      </c>
      <c r="HM104" s="174">
        <f t="shared" si="122"/>
        <v>468</v>
      </c>
      <c r="HN104" s="174">
        <f t="shared" si="123"/>
        <v>376</v>
      </c>
      <c r="HO104" s="174">
        <f t="shared" si="124"/>
        <v>294</v>
      </c>
      <c r="HP104" s="174">
        <f t="shared" si="125"/>
        <v>222</v>
      </c>
      <c r="HQ104" s="174">
        <f t="shared" si="126"/>
        <v>212</v>
      </c>
      <c r="HR104" s="174">
        <f t="shared" si="127"/>
        <v>212</v>
      </c>
      <c r="HS104" s="174">
        <f t="shared" si="128"/>
        <v>202</v>
      </c>
      <c r="HT104" s="174">
        <f t="shared" si="129"/>
        <v>192</v>
      </c>
      <c r="HU104" s="174">
        <f t="shared" si="130"/>
        <v>366</v>
      </c>
      <c r="HV104" s="174">
        <f t="shared" si="131"/>
        <v>212</v>
      </c>
      <c r="HW104" s="174">
        <f t="shared" si="132"/>
        <v>202</v>
      </c>
      <c r="HX104" s="174">
        <f t="shared" si="133"/>
        <v>274</v>
      </c>
      <c r="HY104" s="174">
        <f t="shared" si="134"/>
        <v>192</v>
      </c>
      <c r="HZ104" s="174">
        <f t="shared" si="135"/>
        <v>182</v>
      </c>
      <c r="IA104" s="174">
        <f t="shared" si="136"/>
        <v>172</v>
      </c>
      <c r="IB104" s="174">
        <f t="shared" si="137"/>
        <v>264</v>
      </c>
      <c r="IC104" s="174">
        <f t="shared" si="138"/>
        <v>244</v>
      </c>
      <c r="ID104" s="174">
        <f t="shared" si="139"/>
        <v>162</v>
      </c>
      <c r="IE104" s="174">
        <f t="shared" si="140"/>
        <v>234</v>
      </c>
      <c r="IF104" s="174">
        <f t="shared" si="141"/>
        <v>162</v>
      </c>
      <c r="IG104" s="174">
        <f t="shared" si="142"/>
        <v>142</v>
      </c>
      <c r="IH104" s="174">
        <f t="shared" si="143"/>
        <v>132</v>
      </c>
      <c r="II104" s="174">
        <f t="shared" si="144"/>
        <v>112</v>
      </c>
      <c r="IJ104" s="174">
        <v>104</v>
      </c>
    </row>
    <row r="105" spans="1:253" ht="13.35" customHeight="1" x14ac:dyDescent="0.2">
      <c r="A105" s="183">
        <f t="shared" si="145"/>
        <v>104</v>
      </c>
      <c r="B105" s="184">
        <f t="shared" si="147"/>
        <v>18</v>
      </c>
      <c r="C105" s="183">
        <f t="shared" si="120"/>
        <v>286</v>
      </c>
      <c r="D105" s="174">
        <v>48</v>
      </c>
      <c r="E105" s="189" t="s">
        <v>1114</v>
      </c>
      <c r="J105" s="174">
        <v>5</v>
      </c>
      <c r="AG105" s="174">
        <v>5</v>
      </c>
      <c r="AZ105" s="174">
        <v>10</v>
      </c>
      <c r="BL105" s="174">
        <v>10</v>
      </c>
      <c r="CD105" s="174">
        <v>10</v>
      </c>
      <c r="CX105" s="174">
        <v>5</v>
      </c>
      <c r="EE105" s="203">
        <v>1.3240000000000014</v>
      </c>
      <c r="EF105" s="174">
        <v>-15</v>
      </c>
      <c r="ER105" s="174" t="s">
        <v>4392</v>
      </c>
      <c r="EY105" s="174" t="s">
        <v>1392</v>
      </c>
      <c r="EZ105" s="174" t="s">
        <v>677</v>
      </c>
      <c r="FE105" s="174" t="s">
        <v>1379</v>
      </c>
      <c r="FH105" s="174" t="s">
        <v>1307</v>
      </c>
      <c r="FJ105" s="174" t="s">
        <v>1359</v>
      </c>
      <c r="FO105" s="174" t="s">
        <v>616</v>
      </c>
      <c r="FQ105" s="174" t="s">
        <v>677</v>
      </c>
      <c r="FS105" s="174" t="s">
        <v>1384</v>
      </c>
      <c r="FU105" s="174" t="s">
        <v>1359</v>
      </c>
      <c r="FX105" s="174" t="s">
        <v>1359</v>
      </c>
      <c r="HA105" s="174">
        <v>36</v>
      </c>
      <c r="HB105" s="197">
        <v>102</v>
      </c>
      <c r="HC105" s="194">
        <v>71</v>
      </c>
      <c r="HD105" s="238">
        <v>96</v>
      </c>
      <c r="HE105" s="236">
        <v>25</v>
      </c>
      <c r="HF105" s="183">
        <v>167</v>
      </c>
      <c r="HG105" s="193">
        <f t="shared" si="116"/>
        <v>162</v>
      </c>
      <c r="HH105" s="192" t="e">
        <f t="shared" si="146"/>
        <v>#REF!</v>
      </c>
      <c r="HI105" s="198">
        <v>25</v>
      </c>
      <c r="HJ105" s="185">
        <v>141</v>
      </c>
      <c r="HK105" s="174">
        <v>103</v>
      </c>
      <c r="HL105" s="174">
        <f t="shared" si="121"/>
        <v>482</v>
      </c>
      <c r="HM105" s="174">
        <f t="shared" si="122"/>
        <v>472</v>
      </c>
      <c r="HN105" s="174">
        <f t="shared" si="123"/>
        <v>379</v>
      </c>
      <c r="HO105" s="174">
        <f t="shared" si="124"/>
        <v>296</v>
      </c>
      <c r="HP105" s="174">
        <f t="shared" si="125"/>
        <v>223</v>
      </c>
      <c r="HQ105" s="174">
        <f t="shared" si="126"/>
        <v>213</v>
      </c>
      <c r="HR105" s="174">
        <f t="shared" si="127"/>
        <v>213</v>
      </c>
      <c r="HS105" s="174">
        <f t="shared" si="128"/>
        <v>203</v>
      </c>
      <c r="HT105" s="174">
        <f t="shared" si="129"/>
        <v>193</v>
      </c>
      <c r="HU105" s="174">
        <f t="shared" si="130"/>
        <v>369</v>
      </c>
      <c r="HV105" s="174">
        <f t="shared" si="131"/>
        <v>213</v>
      </c>
      <c r="HW105" s="174">
        <f t="shared" si="132"/>
        <v>203</v>
      </c>
      <c r="HX105" s="174">
        <f t="shared" si="133"/>
        <v>276</v>
      </c>
      <c r="HY105" s="174">
        <f t="shared" si="134"/>
        <v>193</v>
      </c>
      <c r="HZ105" s="174">
        <f t="shared" si="135"/>
        <v>183</v>
      </c>
      <c r="IA105" s="174">
        <f t="shared" si="136"/>
        <v>173</v>
      </c>
      <c r="IB105" s="174">
        <f t="shared" si="137"/>
        <v>266</v>
      </c>
      <c r="IC105" s="174">
        <f t="shared" si="138"/>
        <v>246</v>
      </c>
      <c r="ID105" s="174">
        <f t="shared" si="139"/>
        <v>163</v>
      </c>
      <c r="IE105" s="174">
        <f t="shared" si="140"/>
        <v>236</v>
      </c>
      <c r="IF105" s="174">
        <f t="shared" si="141"/>
        <v>163</v>
      </c>
      <c r="IG105" s="174">
        <f t="shared" si="142"/>
        <v>143</v>
      </c>
      <c r="IH105" s="174">
        <f t="shared" si="143"/>
        <v>133</v>
      </c>
      <c r="II105" s="174">
        <f t="shared" si="144"/>
        <v>113</v>
      </c>
      <c r="IJ105" s="174">
        <v>105</v>
      </c>
    </row>
    <row r="106" spans="1:253" ht="13.35" customHeight="1" x14ac:dyDescent="0.2">
      <c r="A106" s="183">
        <f t="shared" si="145"/>
        <v>105</v>
      </c>
      <c r="B106" s="184">
        <f t="shared" si="147"/>
        <v>20</v>
      </c>
      <c r="C106" s="183">
        <f t="shared" si="120"/>
        <v>315</v>
      </c>
      <c r="D106" s="174">
        <v>49</v>
      </c>
      <c r="E106" s="189" t="s">
        <v>700</v>
      </c>
      <c r="J106" s="174">
        <v>5</v>
      </c>
      <c r="AG106" s="174">
        <v>5</v>
      </c>
      <c r="AW106" s="174">
        <v>10</v>
      </c>
      <c r="AZ106" s="174">
        <v>10</v>
      </c>
      <c r="BL106" s="174">
        <v>10</v>
      </c>
      <c r="CD106" s="174">
        <v>10</v>
      </c>
      <c r="CX106" s="174">
        <v>5</v>
      </c>
      <c r="DB106" s="174">
        <v>5</v>
      </c>
      <c r="EE106" s="203">
        <v>1.3494000000000015</v>
      </c>
      <c r="EF106" s="174">
        <v>-15</v>
      </c>
      <c r="EY106" s="174" t="s">
        <v>1141</v>
      </c>
      <c r="EZ106" s="174" t="s">
        <v>1307</v>
      </c>
      <c r="FE106" s="174" t="s">
        <v>1380</v>
      </c>
      <c r="FH106" s="174" t="s">
        <v>452</v>
      </c>
      <c r="FJ106" s="174" t="s">
        <v>1146</v>
      </c>
      <c r="FO106" s="174" t="s">
        <v>1141</v>
      </c>
      <c r="FQ106" s="174" t="s">
        <v>1359</v>
      </c>
      <c r="FS106" s="174" t="s">
        <v>678</v>
      </c>
      <c r="FU106" s="174" t="s">
        <v>1146</v>
      </c>
      <c r="FX106" s="174" t="s">
        <v>1146</v>
      </c>
      <c r="HA106" s="174">
        <v>37</v>
      </c>
      <c r="HB106" s="197">
        <v>103</v>
      </c>
      <c r="HC106" s="194">
        <v>72</v>
      </c>
      <c r="HD106" s="238">
        <v>96.5</v>
      </c>
      <c r="HE106" s="236">
        <v>25</v>
      </c>
      <c r="HF106" s="183">
        <v>168</v>
      </c>
      <c r="HG106" s="193">
        <f t="shared" si="116"/>
        <v>163</v>
      </c>
      <c r="HH106" s="192" t="e">
        <f t="shared" si="146"/>
        <v>#REF!</v>
      </c>
      <c r="HI106" s="198">
        <v>25</v>
      </c>
      <c r="HJ106" s="185">
        <v>141.5</v>
      </c>
      <c r="HK106" s="174">
        <v>104</v>
      </c>
      <c r="HL106" s="174">
        <f t="shared" si="121"/>
        <v>486</v>
      </c>
      <c r="HM106" s="174">
        <f t="shared" si="122"/>
        <v>476</v>
      </c>
      <c r="HN106" s="174">
        <f t="shared" si="123"/>
        <v>382</v>
      </c>
      <c r="HO106" s="174">
        <f t="shared" si="124"/>
        <v>298</v>
      </c>
      <c r="HP106" s="174">
        <f t="shared" si="125"/>
        <v>224</v>
      </c>
      <c r="HQ106" s="174">
        <f t="shared" si="126"/>
        <v>214</v>
      </c>
      <c r="HR106" s="174">
        <f t="shared" si="127"/>
        <v>214</v>
      </c>
      <c r="HS106" s="174">
        <f t="shared" si="128"/>
        <v>204</v>
      </c>
      <c r="HT106" s="174">
        <f t="shared" si="129"/>
        <v>194</v>
      </c>
      <c r="HU106" s="174">
        <f t="shared" si="130"/>
        <v>372</v>
      </c>
      <c r="HV106" s="174">
        <f t="shared" si="131"/>
        <v>214</v>
      </c>
      <c r="HW106" s="174">
        <f t="shared" si="132"/>
        <v>204</v>
      </c>
      <c r="HX106" s="174">
        <f t="shared" si="133"/>
        <v>278</v>
      </c>
      <c r="HY106" s="174">
        <f t="shared" si="134"/>
        <v>194</v>
      </c>
      <c r="HZ106" s="174">
        <f t="shared" si="135"/>
        <v>184</v>
      </c>
      <c r="IA106" s="174">
        <f t="shared" si="136"/>
        <v>174</v>
      </c>
      <c r="IB106" s="174">
        <f t="shared" si="137"/>
        <v>268</v>
      </c>
      <c r="IC106" s="174">
        <f t="shared" si="138"/>
        <v>248</v>
      </c>
      <c r="ID106" s="174">
        <f t="shared" si="139"/>
        <v>164</v>
      </c>
      <c r="IE106" s="174">
        <f t="shared" si="140"/>
        <v>238</v>
      </c>
      <c r="IF106" s="174">
        <f t="shared" si="141"/>
        <v>164</v>
      </c>
      <c r="IG106" s="174">
        <f t="shared" si="142"/>
        <v>144</v>
      </c>
      <c r="IH106" s="174">
        <f t="shared" si="143"/>
        <v>134</v>
      </c>
      <c r="II106" s="174">
        <f t="shared" si="144"/>
        <v>114</v>
      </c>
      <c r="IJ106" s="174">
        <v>106</v>
      </c>
    </row>
    <row r="107" spans="1:253" ht="13.35" customHeight="1" x14ac:dyDescent="0.2">
      <c r="A107" s="183">
        <f t="shared" si="145"/>
        <v>106</v>
      </c>
      <c r="B107" s="184">
        <f t="shared" si="147"/>
        <v>22</v>
      </c>
      <c r="C107" s="183">
        <f t="shared" si="120"/>
        <v>346</v>
      </c>
      <c r="D107" s="174">
        <v>50</v>
      </c>
      <c r="E107" s="189" t="s">
        <v>714</v>
      </c>
      <c r="W107" s="174">
        <v>5</v>
      </c>
      <c r="AD107" s="174">
        <v>5</v>
      </c>
      <c r="AQ107" s="174">
        <v>5</v>
      </c>
      <c r="EE107" s="203">
        <v>1.3748000000000014</v>
      </c>
      <c r="EF107" s="174">
        <v>-15</v>
      </c>
      <c r="EY107" s="174" t="s">
        <v>1302</v>
      </c>
      <c r="EZ107" s="174" t="s">
        <v>474</v>
      </c>
      <c r="FE107" s="234" t="s">
        <v>4211</v>
      </c>
      <c r="FH107" s="174" t="s">
        <v>1381</v>
      </c>
      <c r="FJ107" s="174" t="s">
        <v>1357</v>
      </c>
      <c r="FO107" s="174" t="s">
        <v>1383</v>
      </c>
      <c r="FQ107" s="174" t="s">
        <v>1146</v>
      </c>
      <c r="FS107" s="174" t="s">
        <v>1179</v>
      </c>
      <c r="FU107" s="174" t="s">
        <v>1357</v>
      </c>
      <c r="FX107" s="174" t="s">
        <v>1357</v>
      </c>
      <c r="HA107" s="174">
        <v>38</v>
      </c>
      <c r="HB107" s="197">
        <v>104</v>
      </c>
      <c r="HC107" s="194">
        <v>72</v>
      </c>
      <c r="HD107" s="238">
        <v>97</v>
      </c>
      <c r="HE107" s="236">
        <v>25</v>
      </c>
      <c r="HF107" s="183">
        <v>169</v>
      </c>
      <c r="HG107" s="193">
        <f t="shared" si="116"/>
        <v>164</v>
      </c>
      <c r="HH107" s="192" t="e">
        <f t="shared" si="146"/>
        <v>#REF!</v>
      </c>
      <c r="HI107" s="198">
        <v>25</v>
      </c>
      <c r="HJ107" s="185">
        <v>142</v>
      </c>
      <c r="HK107" s="174">
        <v>105</v>
      </c>
      <c r="HL107" s="174">
        <f t="shared" si="121"/>
        <v>490</v>
      </c>
      <c r="HM107" s="174">
        <f t="shared" si="122"/>
        <v>480</v>
      </c>
      <c r="HN107" s="174">
        <f t="shared" si="123"/>
        <v>385</v>
      </c>
      <c r="HO107" s="174">
        <f t="shared" si="124"/>
        <v>300</v>
      </c>
      <c r="HP107" s="174">
        <f t="shared" si="125"/>
        <v>225</v>
      </c>
      <c r="HQ107" s="174">
        <f t="shared" si="126"/>
        <v>215</v>
      </c>
      <c r="HR107" s="174">
        <f t="shared" si="127"/>
        <v>215</v>
      </c>
      <c r="HS107" s="174">
        <f t="shared" si="128"/>
        <v>205</v>
      </c>
      <c r="HT107" s="174">
        <f t="shared" si="129"/>
        <v>195</v>
      </c>
      <c r="HU107" s="174">
        <f t="shared" si="130"/>
        <v>375</v>
      </c>
      <c r="HV107" s="174">
        <f t="shared" si="131"/>
        <v>215</v>
      </c>
      <c r="HW107" s="174">
        <f t="shared" si="132"/>
        <v>205</v>
      </c>
      <c r="HX107" s="174">
        <f t="shared" si="133"/>
        <v>280</v>
      </c>
      <c r="HY107" s="174">
        <f t="shared" si="134"/>
        <v>195</v>
      </c>
      <c r="HZ107" s="174">
        <f t="shared" si="135"/>
        <v>185</v>
      </c>
      <c r="IA107" s="174">
        <f t="shared" si="136"/>
        <v>175</v>
      </c>
      <c r="IB107" s="174">
        <f t="shared" si="137"/>
        <v>270</v>
      </c>
      <c r="IC107" s="174">
        <f t="shared" si="138"/>
        <v>250</v>
      </c>
      <c r="ID107" s="174">
        <f t="shared" si="139"/>
        <v>165</v>
      </c>
      <c r="IE107" s="174">
        <f t="shared" si="140"/>
        <v>240</v>
      </c>
      <c r="IF107" s="174">
        <f t="shared" si="141"/>
        <v>165</v>
      </c>
      <c r="IG107" s="174">
        <f t="shared" si="142"/>
        <v>145</v>
      </c>
      <c r="IH107" s="174">
        <f t="shared" si="143"/>
        <v>135</v>
      </c>
      <c r="II107" s="174">
        <f t="shared" si="144"/>
        <v>115</v>
      </c>
      <c r="IJ107" s="174">
        <v>107</v>
      </c>
    </row>
    <row r="108" spans="1:253" ht="13.35" customHeight="1" x14ac:dyDescent="0.2">
      <c r="A108" s="183">
        <f t="shared" si="145"/>
        <v>107</v>
      </c>
      <c r="B108" s="184">
        <f t="shared" si="147"/>
        <v>24</v>
      </c>
      <c r="C108" s="183">
        <f t="shared" si="120"/>
        <v>379</v>
      </c>
      <c r="D108" s="174">
        <v>51</v>
      </c>
      <c r="E108" s="189" t="s">
        <v>720</v>
      </c>
      <c r="F108" s="174">
        <v>20</v>
      </c>
      <c r="G108" s="174">
        <v>10</v>
      </c>
      <c r="H108" s="174">
        <v>15</v>
      </c>
      <c r="J108" s="174">
        <v>5</v>
      </c>
      <c r="M108" s="174">
        <v>5</v>
      </c>
      <c r="T108" s="174">
        <v>5</v>
      </c>
      <c r="U108" s="174">
        <v>10</v>
      </c>
      <c r="V108" s="174">
        <v>5</v>
      </c>
      <c r="W108" s="174">
        <v>5</v>
      </c>
      <c r="X108" s="174">
        <v>5</v>
      </c>
      <c r="Y108" s="174">
        <v>5</v>
      </c>
      <c r="AC108" s="174">
        <v>5</v>
      </c>
      <c r="AD108" s="174">
        <v>10</v>
      </c>
      <c r="AH108" s="174">
        <v>10</v>
      </c>
      <c r="AJ108" s="174">
        <v>10</v>
      </c>
      <c r="AQ108" s="174">
        <v>10</v>
      </c>
      <c r="AU108" s="174">
        <v>10</v>
      </c>
      <c r="AX108" s="174">
        <v>5</v>
      </c>
      <c r="AY108" s="174">
        <v>10</v>
      </c>
      <c r="AZ108" s="174">
        <v>5</v>
      </c>
      <c r="BA108" s="174">
        <v>5</v>
      </c>
      <c r="BB108" s="174">
        <v>10</v>
      </c>
      <c r="BD108" s="174">
        <v>10</v>
      </c>
      <c r="BF108" s="174">
        <v>10</v>
      </c>
      <c r="BH108" s="174">
        <v>5</v>
      </c>
      <c r="BI108" s="174">
        <v>10</v>
      </c>
      <c r="BK108" s="174">
        <v>5</v>
      </c>
      <c r="BN108" s="174">
        <v>10</v>
      </c>
      <c r="BP108" s="174">
        <v>10</v>
      </c>
      <c r="BT108" s="174">
        <v>5</v>
      </c>
      <c r="BU108" s="174">
        <v>5</v>
      </c>
      <c r="BV108" s="174">
        <v>10</v>
      </c>
      <c r="BW108" s="174">
        <v>10</v>
      </c>
      <c r="BZ108" s="174">
        <v>5</v>
      </c>
      <c r="CA108" s="174">
        <v>5</v>
      </c>
      <c r="CD108" s="174">
        <v>5</v>
      </c>
      <c r="CE108" s="174">
        <v>5</v>
      </c>
      <c r="CF108" s="174">
        <v>10</v>
      </c>
      <c r="CG108" s="174">
        <v>5</v>
      </c>
      <c r="CH108" s="174">
        <v>10</v>
      </c>
      <c r="CI108" s="174">
        <v>10</v>
      </c>
      <c r="CJ108" s="174">
        <v>5</v>
      </c>
      <c r="CK108" s="174">
        <v>10</v>
      </c>
      <c r="CL108" s="174">
        <v>5</v>
      </c>
      <c r="CM108" s="174">
        <v>10</v>
      </c>
      <c r="CO108" s="174">
        <v>15</v>
      </c>
      <c r="CQ108" s="174">
        <v>10</v>
      </c>
      <c r="CS108" s="174">
        <v>15</v>
      </c>
      <c r="CT108" s="174">
        <v>10</v>
      </c>
      <c r="CU108" s="174">
        <v>5</v>
      </c>
      <c r="CV108" s="174">
        <v>10</v>
      </c>
      <c r="CY108" s="174">
        <v>5</v>
      </c>
      <c r="DA108" s="174">
        <v>15</v>
      </c>
      <c r="DC108" s="174">
        <v>5</v>
      </c>
      <c r="EE108" s="203">
        <v>1.4002000000000012</v>
      </c>
      <c r="EF108" s="174">
        <v>-15</v>
      </c>
      <c r="EY108" s="174" t="s">
        <v>4333</v>
      </c>
      <c r="EZ108" s="174" t="s">
        <v>452</v>
      </c>
      <c r="FE108" s="190" t="s">
        <v>4205</v>
      </c>
      <c r="FH108" s="174" t="s">
        <v>423</v>
      </c>
      <c r="FJ108" s="174" t="s">
        <v>555</v>
      </c>
      <c r="FO108" s="174" t="s">
        <v>1386</v>
      </c>
      <c r="FQ108" s="174" t="s">
        <v>1357</v>
      </c>
      <c r="FS108" s="174" t="s">
        <v>1141</v>
      </c>
      <c r="FU108" s="174" t="s">
        <v>555</v>
      </c>
      <c r="FX108" s="174" t="s">
        <v>555</v>
      </c>
      <c r="HA108" s="174">
        <v>39</v>
      </c>
      <c r="HB108" s="197">
        <v>105</v>
      </c>
      <c r="HC108" s="194">
        <v>73</v>
      </c>
      <c r="HD108" s="238">
        <v>97.5</v>
      </c>
      <c r="HE108" s="236">
        <v>25</v>
      </c>
      <c r="HF108" s="183">
        <v>170</v>
      </c>
      <c r="HG108" s="193">
        <f t="shared" si="116"/>
        <v>165</v>
      </c>
      <c r="HH108" s="192" t="e">
        <f t="shared" si="146"/>
        <v>#REF!</v>
      </c>
      <c r="HI108" s="198">
        <v>25</v>
      </c>
      <c r="HJ108" s="185">
        <v>142.5</v>
      </c>
      <c r="HK108" s="174">
        <v>106</v>
      </c>
      <c r="HL108" s="174">
        <f t="shared" si="121"/>
        <v>494</v>
      </c>
      <c r="HM108" s="174">
        <f t="shared" si="122"/>
        <v>484</v>
      </c>
      <c r="HN108" s="174">
        <f t="shared" si="123"/>
        <v>388</v>
      </c>
      <c r="HO108" s="174">
        <f t="shared" si="124"/>
        <v>302</v>
      </c>
      <c r="HP108" s="174">
        <f t="shared" si="125"/>
        <v>226</v>
      </c>
      <c r="HQ108" s="174">
        <f t="shared" si="126"/>
        <v>216</v>
      </c>
      <c r="HR108" s="174">
        <f t="shared" si="127"/>
        <v>216</v>
      </c>
      <c r="HS108" s="174">
        <f t="shared" si="128"/>
        <v>206</v>
      </c>
      <c r="HT108" s="174">
        <f t="shared" si="129"/>
        <v>196</v>
      </c>
      <c r="HU108" s="174">
        <f t="shared" si="130"/>
        <v>378</v>
      </c>
      <c r="HV108" s="174">
        <f t="shared" si="131"/>
        <v>216</v>
      </c>
      <c r="HW108" s="174">
        <f t="shared" si="132"/>
        <v>206</v>
      </c>
      <c r="HX108" s="174">
        <f t="shared" si="133"/>
        <v>282</v>
      </c>
      <c r="HY108" s="174">
        <f t="shared" si="134"/>
        <v>196</v>
      </c>
      <c r="HZ108" s="174">
        <f t="shared" si="135"/>
        <v>186</v>
      </c>
      <c r="IA108" s="174">
        <f t="shared" si="136"/>
        <v>176</v>
      </c>
      <c r="IB108" s="174">
        <f t="shared" si="137"/>
        <v>272</v>
      </c>
      <c r="IC108" s="174">
        <f t="shared" si="138"/>
        <v>252</v>
      </c>
      <c r="ID108" s="174">
        <f t="shared" si="139"/>
        <v>166</v>
      </c>
      <c r="IE108" s="174">
        <f t="shared" si="140"/>
        <v>242</v>
      </c>
      <c r="IF108" s="174">
        <f t="shared" si="141"/>
        <v>166</v>
      </c>
      <c r="IG108" s="174">
        <f t="shared" si="142"/>
        <v>146</v>
      </c>
      <c r="IH108" s="174">
        <f t="shared" si="143"/>
        <v>136</v>
      </c>
      <c r="II108" s="174">
        <f t="shared" si="144"/>
        <v>116</v>
      </c>
      <c r="IJ108" s="174">
        <v>108</v>
      </c>
    </row>
    <row r="109" spans="1:253" ht="13.35" customHeight="1" x14ac:dyDescent="0.2">
      <c r="A109" s="183">
        <f t="shared" si="145"/>
        <v>108</v>
      </c>
      <c r="B109" s="184">
        <f t="shared" si="147"/>
        <v>26</v>
      </c>
      <c r="C109" s="183">
        <f t="shared" si="120"/>
        <v>414</v>
      </c>
      <c r="D109" s="174">
        <v>52</v>
      </c>
      <c r="E109" s="189" t="s">
        <v>726</v>
      </c>
      <c r="F109" s="174">
        <v>20</v>
      </c>
      <c r="G109" s="174">
        <v>10</v>
      </c>
      <c r="H109" s="174">
        <v>15</v>
      </c>
      <c r="J109" s="174">
        <v>5</v>
      </c>
      <c r="M109" s="174">
        <v>5</v>
      </c>
      <c r="T109" s="174">
        <v>5</v>
      </c>
      <c r="U109" s="174">
        <v>10</v>
      </c>
      <c r="V109" s="174">
        <v>5</v>
      </c>
      <c r="W109" s="174">
        <v>5</v>
      </c>
      <c r="X109" s="174">
        <v>5</v>
      </c>
      <c r="Y109" s="174">
        <v>5</v>
      </c>
      <c r="AC109" s="174">
        <v>5</v>
      </c>
      <c r="AD109" s="174">
        <v>10</v>
      </c>
      <c r="AH109" s="174">
        <v>10</v>
      </c>
      <c r="AJ109" s="174">
        <v>10</v>
      </c>
      <c r="AQ109" s="174">
        <v>10</v>
      </c>
      <c r="AU109" s="174">
        <v>10</v>
      </c>
      <c r="AX109" s="174">
        <v>5</v>
      </c>
      <c r="AY109" s="174">
        <v>10</v>
      </c>
      <c r="AZ109" s="174">
        <v>5</v>
      </c>
      <c r="BA109" s="174">
        <v>5</v>
      </c>
      <c r="BB109" s="174">
        <v>10</v>
      </c>
      <c r="BD109" s="174">
        <v>10</v>
      </c>
      <c r="BF109" s="174">
        <v>10</v>
      </c>
      <c r="BH109" s="174">
        <v>5</v>
      </c>
      <c r="BI109" s="174">
        <v>10</v>
      </c>
      <c r="BK109" s="174">
        <v>5</v>
      </c>
      <c r="BN109" s="174">
        <v>10</v>
      </c>
      <c r="BP109" s="174">
        <v>10</v>
      </c>
      <c r="BT109" s="174">
        <v>5</v>
      </c>
      <c r="BU109" s="174">
        <v>5</v>
      </c>
      <c r="BV109" s="174">
        <v>10</v>
      </c>
      <c r="BW109" s="174">
        <v>10</v>
      </c>
      <c r="BZ109" s="174">
        <v>5</v>
      </c>
      <c r="CA109" s="174">
        <v>5</v>
      </c>
      <c r="CD109" s="174">
        <v>5</v>
      </c>
      <c r="CE109" s="174">
        <v>5</v>
      </c>
      <c r="CF109" s="174">
        <v>10</v>
      </c>
      <c r="CG109" s="174">
        <v>5</v>
      </c>
      <c r="CH109" s="174">
        <v>10</v>
      </c>
      <c r="CI109" s="174">
        <v>10</v>
      </c>
      <c r="CJ109" s="174">
        <v>5</v>
      </c>
      <c r="CK109" s="174">
        <v>10</v>
      </c>
      <c r="CL109" s="174">
        <v>5</v>
      </c>
      <c r="CM109" s="174">
        <v>10</v>
      </c>
      <c r="CO109" s="174">
        <v>15</v>
      </c>
      <c r="CQ109" s="174">
        <v>10</v>
      </c>
      <c r="CS109" s="174">
        <v>15</v>
      </c>
      <c r="CT109" s="174">
        <v>10</v>
      </c>
      <c r="CU109" s="174">
        <v>5</v>
      </c>
      <c r="CV109" s="174">
        <v>10</v>
      </c>
      <c r="CY109" s="174">
        <v>5</v>
      </c>
      <c r="DA109" s="174">
        <v>15</v>
      </c>
      <c r="DC109" s="174">
        <v>5</v>
      </c>
      <c r="EE109" s="203">
        <v>1.4256000000000011</v>
      </c>
      <c r="EF109" s="174">
        <v>-15</v>
      </c>
      <c r="EZ109" s="174" t="s">
        <v>491</v>
      </c>
      <c r="FH109" s="174" t="s">
        <v>1387</v>
      </c>
      <c r="FJ109" s="174" t="s">
        <v>1384</v>
      </c>
      <c r="FO109" s="174" t="s">
        <v>1388</v>
      </c>
      <c r="FQ109" s="174" t="s">
        <v>555</v>
      </c>
      <c r="FU109" s="174" t="s">
        <v>1384</v>
      </c>
      <c r="FX109" s="174" t="s">
        <v>1384</v>
      </c>
      <c r="HA109" s="174">
        <v>40</v>
      </c>
      <c r="HB109" s="197">
        <v>106</v>
      </c>
      <c r="HC109" s="194">
        <v>73</v>
      </c>
      <c r="HD109" s="238">
        <v>98</v>
      </c>
      <c r="HE109" s="236">
        <v>25</v>
      </c>
      <c r="HF109" s="183">
        <v>171</v>
      </c>
      <c r="HG109" s="193">
        <f t="shared" si="116"/>
        <v>166</v>
      </c>
      <c r="HH109" s="192" t="e">
        <f t="shared" si="146"/>
        <v>#REF!</v>
      </c>
      <c r="HI109" s="198">
        <v>25</v>
      </c>
      <c r="HJ109" s="185">
        <v>143</v>
      </c>
      <c r="HK109" s="174">
        <v>107</v>
      </c>
      <c r="HL109" s="174">
        <f t="shared" si="121"/>
        <v>498</v>
      </c>
      <c r="HM109" s="174">
        <f t="shared" si="122"/>
        <v>488</v>
      </c>
      <c r="HN109" s="174">
        <f t="shared" si="123"/>
        <v>391</v>
      </c>
      <c r="HO109" s="174">
        <f t="shared" si="124"/>
        <v>304</v>
      </c>
      <c r="HP109" s="174">
        <f t="shared" si="125"/>
        <v>227</v>
      </c>
      <c r="HQ109" s="174">
        <f t="shared" si="126"/>
        <v>217</v>
      </c>
      <c r="HR109" s="174">
        <f t="shared" si="127"/>
        <v>217</v>
      </c>
      <c r="HS109" s="174">
        <f t="shared" si="128"/>
        <v>207</v>
      </c>
      <c r="HT109" s="174">
        <f t="shared" si="129"/>
        <v>197</v>
      </c>
      <c r="HU109" s="174">
        <f t="shared" si="130"/>
        <v>381</v>
      </c>
      <c r="HV109" s="174">
        <f t="shared" si="131"/>
        <v>217</v>
      </c>
      <c r="HW109" s="174">
        <f t="shared" si="132"/>
        <v>207</v>
      </c>
      <c r="HX109" s="174">
        <f t="shared" si="133"/>
        <v>284</v>
      </c>
      <c r="HY109" s="174">
        <f t="shared" si="134"/>
        <v>197</v>
      </c>
      <c r="HZ109" s="174">
        <f t="shared" si="135"/>
        <v>187</v>
      </c>
      <c r="IA109" s="174">
        <f t="shared" si="136"/>
        <v>177</v>
      </c>
      <c r="IB109" s="174">
        <f t="shared" si="137"/>
        <v>274</v>
      </c>
      <c r="IC109" s="174">
        <f t="shared" si="138"/>
        <v>254</v>
      </c>
      <c r="ID109" s="174">
        <f t="shared" si="139"/>
        <v>167</v>
      </c>
      <c r="IE109" s="174">
        <f t="shared" si="140"/>
        <v>244</v>
      </c>
      <c r="IF109" s="174">
        <f t="shared" si="141"/>
        <v>167</v>
      </c>
      <c r="IG109" s="174">
        <f t="shared" si="142"/>
        <v>147</v>
      </c>
      <c r="IH109" s="174">
        <f t="shared" si="143"/>
        <v>137</v>
      </c>
      <c r="II109" s="174">
        <f t="shared" si="144"/>
        <v>117</v>
      </c>
      <c r="IJ109" s="174">
        <v>109</v>
      </c>
    </row>
    <row r="110" spans="1:253" ht="13.35" customHeight="1" x14ac:dyDescent="0.2">
      <c r="A110" s="183">
        <f t="shared" si="145"/>
        <v>109</v>
      </c>
      <c r="B110" s="184">
        <f t="shared" si="147"/>
        <v>28</v>
      </c>
      <c r="C110" s="183">
        <f t="shared" si="120"/>
        <v>451</v>
      </c>
      <c r="D110" s="174">
        <v>53</v>
      </c>
      <c r="E110" s="189" t="s">
        <v>730</v>
      </c>
      <c r="F110" s="174">
        <v>20</v>
      </c>
      <c r="G110" s="174">
        <v>10</v>
      </c>
      <c r="H110" s="174">
        <v>15</v>
      </c>
      <c r="J110" s="174">
        <v>5</v>
      </c>
      <c r="M110" s="174">
        <v>5</v>
      </c>
      <c r="T110" s="174">
        <v>5</v>
      </c>
      <c r="U110" s="174">
        <v>10</v>
      </c>
      <c r="V110" s="174">
        <v>5</v>
      </c>
      <c r="W110" s="174">
        <v>5</v>
      </c>
      <c r="X110" s="174">
        <v>5</v>
      </c>
      <c r="Y110" s="174">
        <v>5</v>
      </c>
      <c r="AC110" s="174">
        <v>5</v>
      </c>
      <c r="AD110" s="174">
        <v>10</v>
      </c>
      <c r="AH110" s="174">
        <v>10</v>
      </c>
      <c r="AJ110" s="174">
        <v>10</v>
      </c>
      <c r="AQ110" s="174">
        <v>10</v>
      </c>
      <c r="AU110" s="174">
        <v>10</v>
      </c>
      <c r="AX110" s="174">
        <v>5</v>
      </c>
      <c r="AY110" s="174">
        <v>10</v>
      </c>
      <c r="AZ110" s="174">
        <v>5</v>
      </c>
      <c r="BA110" s="174">
        <v>5</v>
      </c>
      <c r="BB110" s="174">
        <v>10</v>
      </c>
      <c r="BD110" s="174">
        <v>10</v>
      </c>
      <c r="BF110" s="174">
        <v>10</v>
      </c>
      <c r="BH110" s="174">
        <v>5</v>
      </c>
      <c r="BI110" s="174">
        <v>10</v>
      </c>
      <c r="BK110" s="174">
        <v>5</v>
      </c>
      <c r="BN110" s="174">
        <v>10</v>
      </c>
      <c r="BP110" s="174">
        <v>10</v>
      </c>
      <c r="BT110" s="174">
        <v>5</v>
      </c>
      <c r="BU110" s="174">
        <v>5</v>
      </c>
      <c r="BV110" s="174">
        <v>10</v>
      </c>
      <c r="BW110" s="174">
        <v>10</v>
      </c>
      <c r="BZ110" s="174">
        <v>5</v>
      </c>
      <c r="CA110" s="174">
        <v>5</v>
      </c>
      <c r="CD110" s="174">
        <v>5</v>
      </c>
      <c r="CE110" s="174">
        <v>5</v>
      </c>
      <c r="CF110" s="174">
        <v>10</v>
      </c>
      <c r="CG110" s="174">
        <v>5</v>
      </c>
      <c r="CH110" s="174">
        <v>10</v>
      </c>
      <c r="CI110" s="174">
        <v>10</v>
      </c>
      <c r="CJ110" s="174">
        <v>5</v>
      </c>
      <c r="CK110" s="174">
        <v>10</v>
      </c>
      <c r="CL110" s="174">
        <v>5</v>
      </c>
      <c r="CM110" s="174">
        <v>10</v>
      </c>
      <c r="CO110" s="174">
        <v>15</v>
      </c>
      <c r="CQ110" s="174">
        <v>10</v>
      </c>
      <c r="CS110" s="174">
        <v>15</v>
      </c>
      <c r="CT110" s="174">
        <v>10</v>
      </c>
      <c r="CU110" s="174">
        <v>5</v>
      </c>
      <c r="CV110" s="174">
        <v>10</v>
      </c>
      <c r="CY110" s="174">
        <v>5</v>
      </c>
      <c r="DA110" s="174">
        <v>15</v>
      </c>
      <c r="DC110" s="174">
        <v>5</v>
      </c>
      <c r="EE110" s="203">
        <v>1.4510000000000012</v>
      </c>
      <c r="EF110" s="174">
        <v>-15</v>
      </c>
      <c r="EZ110" s="174" t="s">
        <v>1232</v>
      </c>
      <c r="FH110" s="174" t="s">
        <v>616</v>
      </c>
      <c r="FJ110" s="174" t="s">
        <v>678</v>
      </c>
      <c r="FO110" s="174" t="s">
        <v>1389</v>
      </c>
      <c r="FQ110" s="174" t="s">
        <v>1384</v>
      </c>
      <c r="FU110" s="174" t="s">
        <v>678</v>
      </c>
      <c r="FX110" s="174" t="s">
        <v>678</v>
      </c>
      <c r="HA110" s="174">
        <v>41</v>
      </c>
      <c r="HB110" s="197">
        <v>107</v>
      </c>
      <c r="HC110" s="194">
        <v>74</v>
      </c>
      <c r="HD110" s="238">
        <v>98.5</v>
      </c>
      <c r="HE110" s="236">
        <v>25</v>
      </c>
      <c r="HF110" s="183">
        <v>172</v>
      </c>
      <c r="HG110" s="193">
        <f t="shared" si="116"/>
        <v>167</v>
      </c>
      <c r="HH110" s="192" t="e">
        <f t="shared" si="146"/>
        <v>#REF!</v>
      </c>
      <c r="HI110" s="198">
        <v>25</v>
      </c>
      <c r="HJ110" s="185">
        <v>143.5</v>
      </c>
      <c r="HK110" s="174">
        <v>108</v>
      </c>
      <c r="HL110" s="174">
        <f t="shared" si="121"/>
        <v>502</v>
      </c>
      <c r="HM110" s="174">
        <f t="shared" si="122"/>
        <v>492</v>
      </c>
      <c r="HN110" s="174">
        <f t="shared" si="123"/>
        <v>394</v>
      </c>
      <c r="HO110" s="174">
        <f t="shared" si="124"/>
        <v>306</v>
      </c>
      <c r="HP110" s="174">
        <f t="shared" si="125"/>
        <v>228</v>
      </c>
      <c r="HQ110" s="174">
        <f t="shared" si="126"/>
        <v>218</v>
      </c>
      <c r="HR110" s="174">
        <f t="shared" si="127"/>
        <v>218</v>
      </c>
      <c r="HS110" s="174">
        <f t="shared" si="128"/>
        <v>208</v>
      </c>
      <c r="HT110" s="174">
        <f t="shared" si="129"/>
        <v>198</v>
      </c>
      <c r="HU110" s="174">
        <f t="shared" si="130"/>
        <v>384</v>
      </c>
      <c r="HV110" s="174">
        <f t="shared" si="131"/>
        <v>218</v>
      </c>
      <c r="HW110" s="174">
        <f t="shared" si="132"/>
        <v>208</v>
      </c>
      <c r="HX110" s="174">
        <f t="shared" si="133"/>
        <v>286</v>
      </c>
      <c r="HY110" s="174">
        <f t="shared" si="134"/>
        <v>198</v>
      </c>
      <c r="HZ110" s="174">
        <f t="shared" si="135"/>
        <v>188</v>
      </c>
      <c r="IA110" s="174">
        <f t="shared" si="136"/>
        <v>178</v>
      </c>
      <c r="IB110" s="174">
        <f t="shared" si="137"/>
        <v>276</v>
      </c>
      <c r="IC110" s="174">
        <f t="shared" si="138"/>
        <v>256</v>
      </c>
      <c r="ID110" s="174">
        <f t="shared" si="139"/>
        <v>168</v>
      </c>
      <c r="IE110" s="174">
        <f t="shared" si="140"/>
        <v>246</v>
      </c>
      <c r="IF110" s="174">
        <f t="shared" si="141"/>
        <v>168</v>
      </c>
      <c r="IG110" s="174">
        <f t="shared" si="142"/>
        <v>148</v>
      </c>
      <c r="IH110" s="174">
        <f t="shared" si="143"/>
        <v>138</v>
      </c>
      <c r="II110" s="174">
        <f t="shared" si="144"/>
        <v>118</v>
      </c>
      <c r="IJ110" s="174">
        <v>110</v>
      </c>
    </row>
    <row r="111" spans="1:253" ht="13.35" customHeight="1" x14ac:dyDescent="0.2">
      <c r="A111" s="183">
        <f t="shared" si="145"/>
        <v>110</v>
      </c>
      <c r="B111" s="184">
        <f t="shared" si="147"/>
        <v>30</v>
      </c>
      <c r="C111" s="183">
        <f t="shared" si="120"/>
        <v>490</v>
      </c>
      <c r="D111" s="174">
        <v>54</v>
      </c>
      <c r="E111" s="189" t="s">
        <v>734</v>
      </c>
      <c r="F111" s="174">
        <v>20</v>
      </c>
      <c r="G111" s="174">
        <v>10</v>
      </c>
      <c r="H111" s="174">
        <v>15</v>
      </c>
      <c r="J111" s="174">
        <v>5</v>
      </c>
      <c r="M111" s="174">
        <v>5</v>
      </c>
      <c r="T111" s="174">
        <v>5</v>
      </c>
      <c r="U111" s="174">
        <v>10</v>
      </c>
      <c r="V111" s="174">
        <v>5</v>
      </c>
      <c r="W111" s="174">
        <v>5</v>
      </c>
      <c r="X111" s="174">
        <v>5</v>
      </c>
      <c r="Y111" s="174">
        <v>5</v>
      </c>
      <c r="AC111" s="174">
        <v>5</v>
      </c>
      <c r="AD111" s="174">
        <v>10</v>
      </c>
      <c r="AH111" s="174">
        <v>10</v>
      </c>
      <c r="AJ111" s="174">
        <v>10</v>
      </c>
      <c r="AQ111" s="174">
        <v>10</v>
      </c>
      <c r="AU111" s="174">
        <v>10</v>
      </c>
      <c r="AX111" s="174">
        <v>5</v>
      </c>
      <c r="AY111" s="174">
        <v>10</v>
      </c>
      <c r="AZ111" s="174">
        <v>5</v>
      </c>
      <c r="BA111" s="174">
        <v>5</v>
      </c>
      <c r="BB111" s="174">
        <v>10</v>
      </c>
      <c r="BC111" s="174">
        <v>5</v>
      </c>
      <c r="BD111" s="174">
        <v>10</v>
      </c>
      <c r="BE111" s="174">
        <v>5</v>
      </c>
      <c r="BF111" s="174">
        <v>10</v>
      </c>
      <c r="BH111" s="174">
        <v>5</v>
      </c>
      <c r="BI111" s="174">
        <v>10</v>
      </c>
      <c r="BK111" s="174">
        <v>5</v>
      </c>
      <c r="BM111" s="174">
        <v>5</v>
      </c>
      <c r="BN111" s="174">
        <v>10</v>
      </c>
      <c r="BO111" s="174">
        <v>10</v>
      </c>
      <c r="BP111" s="174">
        <v>10</v>
      </c>
      <c r="BT111" s="174">
        <v>5</v>
      </c>
      <c r="BU111" s="174">
        <v>5</v>
      </c>
      <c r="BV111" s="174">
        <v>10</v>
      </c>
      <c r="BW111" s="174">
        <v>10</v>
      </c>
      <c r="BX111" s="174">
        <v>10</v>
      </c>
      <c r="BZ111" s="174">
        <v>5</v>
      </c>
      <c r="CA111" s="174">
        <v>5</v>
      </c>
      <c r="CD111" s="174">
        <v>5</v>
      </c>
      <c r="CE111" s="174">
        <v>5</v>
      </c>
      <c r="CF111" s="174">
        <v>10</v>
      </c>
      <c r="CG111" s="174">
        <v>5</v>
      </c>
      <c r="CH111" s="174">
        <v>10</v>
      </c>
      <c r="CI111" s="174">
        <v>10</v>
      </c>
      <c r="CJ111" s="174">
        <v>5</v>
      </c>
      <c r="CK111" s="174">
        <v>10</v>
      </c>
      <c r="CL111" s="174">
        <v>5</v>
      </c>
      <c r="CM111" s="174">
        <v>10</v>
      </c>
      <c r="CO111" s="174">
        <v>15</v>
      </c>
      <c r="CP111" s="174">
        <v>10</v>
      </c>
      <c r="CQ111" s="174">
        <v>10</v>
      </c>
      <c r="CS111" s="174">
        <v>15</v>
      </c>
      <c r="CT111" s="174">
        <v>10</v>
      </c>
      <c r="CU111" s="174">
        <v>5</v>
      </c>
      <c r="CV111" s="174">
        <v>10</v>
      </c>
      <c r="CY111" s="174">
        <v>5</v>
      </c>
      <c r="DA111" s="174">
        <v>15</v>
      </c>
      <c r="DC111" s="174">
        <v>5</v>
      </c>
      <c r="EE111" s="203">
        <v>1.476400000000001</v>
      </c>
      <c r="EF111" s="174">
        <v>-10</v>
      </c>
      <c r="EZ111" s="174" t="s">
        <v>1392</v>
      </c>
      <c r="FH111" s="234" t="s">
        <v>4276</v>
      </c>
      <c r="FJ111" s="174" t="s">
        <v>1179</v>
      </c>
      <c r="FO111" s="174" t="s">
        <v>1391</v>
      </c>
      <c r="FQ111" s="174" t="s">
        <v>678</v>
      </c>
      <c r="FU111" s="174" t="s">
        <v>1179</v>
      </c>
      <c r="FX111" s="174" t="s">
        <v>1179</v>
      </c>
      <c r="HA111" s="174">
        <v>42</v>
      </c>
      <c r="HB111" s="197">
        <v>108</v>
      </c>
      <c r="HC111" s="194">
        <v>74</v>
      </c>
      <c r="HD111" s="238">
        <v>99</v>
      </c>
      <c r="HE111" s="236">
        <v>25</v>
      </c>
      <c r="HF111" s="183">
        <v>173</v>
      </c>
      <c r="HG111" s="193">
        <f t="shared" si="116"/>
        <v>168</v>
      </c>
      <c r="HH111" s="192" t="e">
        <f t="shared" si="146"/>
        <v>#REF!</v>
      </c>
      <c r="HI111" s="198">
        <v>25</v>
      </c>
      <c r="HJ111" s="185">
        <v>144</v>
      </c>
      <c r="HK111" s="174">
        <v>109</v>
      </c>
      <c r="HL111" s="174">
        <f t="shared" si="121"/>
        <v>506</v>
      </c>
      <c r="HM111" s="174">
        <f t="shared" si="122"/>
        <v>496</v>
      </c>
      <c r="HN111" s="174">
        <f t="shared" si="123"/>
        <v>397</v>
      </c>
      <c r="HO111" s="174">
        <f t="shared" si="124"/>
        <v>308</v>
      </c>
      <c r="HP111" s="174">
        <f t="shared" si="125"/>
        <v>229</v>
      </c>
      <c r="HQ111" s="174">
        <f t="shared" si="126"/>
        <v>219</v>
      </c>
      <c r="HR111" s="174">
        <f t="shared" si="127"/>
        <v>219</v>
      </c>
      <c r="HS111" s="174">
        <f t="shared" si="128"/>
        <v>209</v>
      </c>
      <c r="HT111" s="174">
        <f t="shared" si="129"/>
        <v>199</v>
      </c>
      <c r="HU111" s="174">
        <f t="shared" si="130"/>
        <v>387</v>
      </c>
      <c r="HV111" s="174">
        <f t="shared" si="131"/>
        <v>219</v>
      </c>
      <c r="HW111" s="174">
        <f t="shared" si="132"/>
        <v>209</v>
      </c>
      <c r="HX111" s="174">
        <f t="shared" si="133"/>
        <v>288</v>
      </c>
      <c r="HY111" s="174">
        <f t="shared" si="134"/>
        <v>199</v>
      </c>
      <c r="HZ111" s="174">
        <f t="shared" si="135"/>
        <v>189</v>
      </c>
      <c r="IA111" s="174">
        <f t="shared" si="136"/>
        <v>179</v>
      </c>
      <c r="IB111" s="174">
        <f t="shared" si="137"/>
        <v>278</v>
      </c>
      <c r="IC111" s="174">
        <f t="shared" si="138"/>
        <v>258</v>
      </c>
      <c r="ID111" s="174">
        <f t="shared" si="139"/>
        <v>169</v>
      </c>
      <c r="IE111" s="174">
        <f t="shared" si="140"/>
        <v>248</v>
      </c>
      <c r="IF111" s="174">
        <f t="shared" si="141"/>
        <v>169</v>
      </c>
      <c r="IG111" s="174">
        <f t="shared" si="142"/>
        <v>149</v>
      </c>
      <c r="IH111" s="174">
        <f t="shared" si="143"/>
        <v>139</v>
      </c>
      <c r="II111" s="174">
        <f t="shared" si="144"/>
        <v>119</v>
      </c>
      <c r="IJ111" s="174">
        <v>111</v>
      </c>
    </row>
    <row r="112" spans="1:253" ht="13.35" customHeight="1" x14ac:dyDescent="0.2">
      <c r="A112" s="183">
        <f t="shared" si="145"/>
        <v>111</v>
      </c>
      <c r="B112" s="184">
        <f t="shared" si="147"/>
        <v>32</v>
      </c>
      <c r="C112" s="183">
        <f t="shared" si="120"/>
        <v>531</v>
      </c>
      <c r="D112" s="174">
        <v>55</v>
      </c>
      <c r="E112" s="189" t="s">
        <v>739</v>
      </c>
      <c r="F112" s="174">
        <v>20</v>
      </c>
      <c r="G112" s="174">
        <v>10</v>
      </c>
      <c r="H112" s="174">
        <v>15</v>
      </c>
      <c r="J112" s="174">
        <v>5</v>
      </c>
      <c r="M112" s="174">
        <v>5</v>
      </c>
      <c r="T112" s="174">
        <v>5</v>
      </c>
      <c r="U112" s="174">
        <v>10</v>
      </c>
      <c r="V112" s="174">
        <v>5</v>
      </c>
      <c r="W112" s="174">
        <v>5</v>
      </c>
      <c r="X112" s="174">
        <v>5</v>
      </c>
      <c r="Y112" s="174">
        <v>5</v>
      </c>
      <c r="AC112" s="174">
        <v>5</v>
      </c>
      <c r="AD112" s="174">
        <v>10</v>
      </c>
      <c r="AH112" s="174">
        <v>10</v>
      </c>
      <c r="AJ112" s="174">
        <v>10</v>
      </c>
      <c r="AQ112" s="174">
        <v>10</v>
      </c>
      <c r="AU112" s="174">
        <v>10</v>
      </c>
      <c r="AX112" s="174">
        <v>5</v>
      </c>
      <c r="AY112" s="174">
        <v>10</v>
      </c>
      <c r="AZ112" s="174">
        <v>5</v>
      </c>
      <c r="BA112" s="174">
        <v>5</v>
      </c>
      <c r="BB112" s="174">
        <v>10</v>
      </c>
      <c r="BD112" s="174">
        <v>10</v>
      </c>
      <c r="BF112" s="174">
        <v>10</v>
      </c>
      <c r="BH112" s="174">
        <v>5</v>
      </c>
      <c r="BI112" s="174">
        <v>10</v>
      </c>
      <c r="BK112" s="174">
        <v>5</v>
      </c>
      <c r="BN112" s="174">
        <v>10</v>
      </c>
      <c r="BP112" s="174">
        <v>10</v>
      </c>
      <c r="BT112" s="174">
        <v>5</v>
      </c>
      <c r="BU112" s="174">
        <v>5</v>
      </c>
      <c r="BV112" s="174">
        <v>10</v>
      </c>
      <c r="BW112" s="174">
        <v>10</v>
      </c>
      <c r="BZ112" s="174">
        <v>5</v>
      </c>
      <c r="CA112" s="174">
        <v>5</v>
      </c>
      <c r="CD112" s="174">
        <v>5</v>
      </c>
      <c r="CE112" s="174">
        <v>5</v>
      </c>
      <c r="CF112" s="174">
        <v>10</v>
      </c>
      <c r="CG112" s="174">
        <v>5</v>
      </c>
      <c r="CH112" s="174">
        <v>10</v>
      </c>
      <c r="CI112" s="174">
        <v>10</v>
      </c>
      <c r="CJ112" s="174">
        <v>5</v>
      </c>
      <c r="CK112" s="174">
        <v>10</v>
      </c>
      <c r="CL112" s="174">
        <v>5</v>
      </c>
      <c r="CM112" s="174">
        <v>10</v>
      </c>
      <c r="CO112" s="174">
        <v>15</v>
      </c>
      <c r="CQ112" s="174">
        <v>10</v>
      </c>
      <c r="CS112" s="174">
        <v>15</v>
      </c>
      <c r="CT112" s="174">
        <v>10</v>
      </c>
      <c r="CU112" s="174">
        <v>5</v>
      </c>
      <c r="CV112" s="174">
        <v>10</v>
      </c>
      <c r="CY112" s="174">
        <v>5</v>
      </c>
      <c r="DA112" s="174">
        <v>15</v>
      </c>
      <c r="DC112" s="174">
        <v>5</v>
      </c>
      <c r="EE112" s="203">
        <v>1.5018000000000009</v>
      </c>
      <c r="EF112" s="174">
        <v>-10</v>
      </c>
      <c r="EZ112" s="174" t="s">
        <v>1395</v>
      </c>
      <c r="FH112" s="234" t="s">
        <v>4277</v>
      </c>
      <c r="FJ112" s="174" t="s">
        <v>1141</v>
      </c>
      <c r="FO112" s="174" t="s">
        <v>1394</v>
      </c>
      <c r="FQ112" s="174" t="s">
        <v>1179</v>
      </c>
      <c r="FU112" s="174" t="s">
        <v>1141</v>
      </c>
      <c r="FX112" s="174" t="s">
        <v>1141</v>
      </c>
      <c r="HA112" s="174">
        <v>43</v>
      </c>
      <c r="HB112" s="197">
        <v>109</v>
      </c>
      <c r="HC112" s="194">
        <v>75</v>
      </c>
      <c r="HD112" s="238">
        <v>99.5</v>
      </c>
      <c r="HE112" s="236">
        <v>25</v>
      </c>
      <c r="HF112" s="183">
        <v>174</v>
      </c>
      <c r="HG112" s="193">
        <f t="shared" si="116"/>
        <v>169</v>
      </c>
      <c r="HH112" s="192" t="e">
        <f t="shared" si="146"/>
        <v>#REF!</v>
      </c>
      <c r="HI112" s="198">
        <v>25</v>
      </c>
      <c r="HJ112" s="185">
        <v>144.5</v>
      </c>
      <c r="HK112" s="182">
        <v>110</v>
      </c>
      <c r="HL112" s="174">
        <f t="shared" si="121"/>
        <v>510</v>
      </c>
      <c r="HM112" s="174">
        <f t="shared" si="122"/>
        <v>500</v>
      </c>
      <c r="HN112" s="174">
        <f t="shared" si="123"/>
        <v>400</v>
      </c>
      <c r="HO112" s="174">
        <f t="shared" si="124"/>
        <v>310</v>
      </c>
      <c r="HP112" s="174">
        <f t="shared" si="125"/>
        <v>230</v>
      </c>
      <c r="HQ112" s="174">
        <f t="shared" si="126"/>
        <v>220</v>
      </c>
      <c r="HR112" s="174">
        <f t="shared" si="127"/>
        <v>220</v>
      </c>
      <c r="HS112" s="174">
        <f t="shared" si="128"/>
        <v>210</v>
      </c>
      <c r="HT112" s="174">
        <f t="shared" si="129"/>
        <v>200</v>
      </c>
      <c r="HU112" s="174">
        <f t="shared" si="130"/>
        <v>390</v>
      </c>
      <c r="HV112" s="174">
        <f t="shared" si="131"/>
        <v>220</v>
      </c>
      <c r="HW112" s="174">
        <f t="shared" si="132"/>
        <v>210</v>
      </c>
      <c r="HX112" s="174">
        <f t="shared" si="133"/>
        <v>290</v>
      </c>
      <c r="HY112" s="174">
        <f t="shared" si="134"/>
        <v>200</v>
      </c>
      <c r="HZ112" s="174">
        <f t="shared" si="135"/>
        <v>190</v>
      </c>
      <c r="IA112" s="174">
        <f t="shared" si="136"/>
        <v>180</v>
      </c>
      <c r="IB112" s="174">
        <f t="shared" si="137"/>
        <v>280</v>
      </c>
      <c r="IC112" s="174">
        <f t="shared" si="138"/>
        <v>260</v>
      </c>
      <c r="ID112" s="174">
        <f t="shared" si="139"/>
        <v>170</v>
      </c>
      <c r="IE112" s="174">
        <f t="shared" si="140"/>
        <v>250</v>
      </c>
      <c r="IF112" s="174">
        <f t="shared" si="141"/>
        <v>170</v>
      </c>
      <c r="IG112" s="174">
        <f t="shared" si="142"/>
        <v>150</v>
      </c>
      <c r="IH112" s="174">
        <f t="shared" si="143"/>
        <v>140</v>
      </c>
      <c r="II112" s="174">
        <f t="shared" si="144"/>
        <v>120</v>
      </c>
      <c r="IJ112" s="182">
        <v>112</v>
      </c>
    </row>
    <row r="113" spans="1:244" ht="13.35" customHeight="1" x14ac:dyDescent="0.2">
      <c r="A113" s="183">
        <f t="shared" si="145"/>
        <v>112</v>
      </c>
      <c r="B113" s="184">
        <f t="shared" si="147"/>
        <v>34</v>
      </c>
      <c r="C113" s="183">
        <f t="shared" si="120"/>
        <v>574</v>
      </c>
      <c r="D113" s="174">
        <v>56</v>
      </c>
      <c r="E113" s="189" t="s">
        <v>742</v>
      </c>
      <c r="F113" s="174">
        <v>20</v>
      </c>
      <c r="G113" s="174">
        <v>10</v>
      </c>
      <c r="H113" s="174">
        <v>15</v>
      </c>
      <c r="J113" s="174">
        <v>5</v>
      </c>
      <c r="M113" s="174">
        <v>5</v>
      </c>
      <c r="T113" s="174">
        <v>5</v>
      </c>
      <c r="U113" s="174">
        <v>10</v>
      </c>
      <c r="V113" s="174">
        <v>5</v>
      </c>
      <c r="W113" s="174">
        <v>5</v>
      </c>
      <c r="X113" s="174">
        <v>5</v>
      </c>
      <c r="Y113" s="174">
        <v>5</v>
      </c>
      <c r="AC113" s="174">
        <v>5</v>
      </c>
      <c r="AD113" s="174">
        <v>10</v>
      </c>
      <c r="AH113" s="174">
        <v>10</v>
      </c>
      <c r="AJ113" s="174">
        <v>10</v>
      </c>
      <c r="AQ113" s="174">
        <v>10</v>
      </c>
      <c r="AU113" s="174">
        <v>10</v>
      </c>
      <c r="AX113" s="174">
        <v>5</v>
      </c>
      <c r="AY113" s="174">
        <v>10</v>
      </c>
      <c r="AZ113" s="174">
        <v>5</v>
      </c>
      <c r="BA113" s="174">
        <v>5</v>
      </c>
      <c r="BB113" s="174">
        <v>10</v>
      </c>
      <c r="BD113" s="174">
        <v>10</v>
      </c>
      <c r="BF113" s="174">
        <v>10</v>
      </c>
      <c r="BH113" s="174">
        <v>5</v>
      </c>
      <c r="BI113" s="174">
        <v>10</v>
      </c>
      <c r="BK113" s="174">
        <v>5</v>
      </c>
      <c r="BN113" s="174">
        <v>10</v>
      </c>
      <c r="BP113" s="174">
        <v>10</v>
      </c>
      <c r="BT113" s="174">
        <v>5</v>
      </c>
      <c r="BU113" s="174">
        <v>5</v>
      </c>
      <c r="BV113" s="174">
        <v>10</v>
      </c>
      <c r="BW113" s="174">
        <v>10</v>
      </c>
      <c r="BZ113" s="174">
        <v>5</v>
      </c>
      <c r="CA113" s="174">
        <v>5</v>
      </c>
      <c r="CD113" s="174">
        <v>5</v>
      </c>
      <c r="CE113" s="174">
        <v>5</v>
      </c>
      <c r="CF113" s="174">
        <v>10</v>
      </c>
      <c r="CG113" s="174">
        <v>5</v>
      </c>
      <c r="CH113" s="174">
        <v>10</v>
      </c>
      <c r="CI113" s="174">
        <v>10</v>
      </c>
      <c r="CJ113" s="174">
        <v>5</v>
      </c>
      <c r="CK113" s="174">
        <v>10</v>
      </c>
      <c r="CL113" s="174">
        <v>5</v>
      </c>
      <c r="CM113" s="174">
        <v>10</v>
      </c>
      <c r="CO113" s="174">
        <v>15</v>
      </c>
      <c r="CQ113" s="174">
        <v>10</v>
      </c>
      <c r="CS113" s="174">
        <v>15</v>
      </c>
      <c r="CT113" s="174">
        <v>10</v>
      </c>
      <c r="CU113" s="174">
        <v>5</v>
      </c>
      <c r="CV113" s="174">
        <v>10</v>
      </c>
      <c r="CY113" s="174">
        <v>5</v>
      </c>
      <c r="DA113" s="174">
        <v>15</v>
      </c>
      <c r="DC113" s="174">
        <v>5</v>
      </c>
      <c r="EE113" s="203">
        <v>1.5272000000000008</v>
      </c>
      <c r="EF113" s="174">
        <v>-10</v>
      </c>
      <c r="EZ113" s="174" t="s">
        <v>1141</v>
      </c>
      <c r="FQ113" s="174" t="s">
        <v>1141</v>
      </c>
      <c r="HA113" s="174">
        <v>44</v>
      </c>
      <c r="HB113" s="197">
        <v>110</v>
      </c>
      <c r="HC113" s="194">
        <v>75</v>
      </c>
      <c r="HD113" s="238">
        <v>100</v>
      </c>
      <c r="HE113" s="236">
        <v>25</v>
      </c>
      <c r="HF113" s="183">
        <v>175</v>
      </c>
      <c r="HG113" s="193">
        <f t="shared" si="116"/>
        <v>170</v>
      </c>
      <c r="HH113" s="192" t="e">
        <f t="shared" si="146"/>
        <v>#REF!</v>
      </c>
      <c r="HI113" s="198">
        <v>25</v>
      </c>
      <c r="HJ113" s="185">
        <v>145</v>
      </c>
      <c r="HK113" s="174">
        <v>111</v>
      </c>
      <c r="HL113" s="174">
        <f t="shared" si="121"/>
        <v>514</v>
      </c>
      <c r="HM113" s="174">
        <f t="shared" si="122"/>
        <v>504</v>
      </c>
      <c r="HN113" s="174">
        <f t="shared" si="123"/>
        <v>403</v>
      </c>
      <c r="HO113" s="174">
        <f t="shared" si="124"/>
        <v>312</v>
      </c>
      <c r="HP113" s="174">
        <f t="shared" si="125"/>
        <v>231</v>
      </c>
      <c r="HQ113" s="174">
        <f t="shared" si="126"/>
        <v>221</v>
      </c>
      <c r="HR113" s="174">
        <f t="shared" si="127"/>
        <v>221</v>
      </c>
      <c r="HS113" s="174">
        <f t="shared" si="128"/>
        <v>211</v>
      </c>
      <c r="HT113" s="174">
        <f t="shared" si="129"/>
        <v>201</v>
      </c>
      <c r="HU113" s="174">
        <f t="shared" si="130"/>
        <v>393</v>
      </c>
      <c r="HV113" s="174">
        <f t="shared" si="131"/>
        <v>221</v>
      </c>
      <c r="HW113" s="174">
        <f t="shared" si="132"/>
        <v>211</v>
      </c>
      <c r="HX113" s="174">
        <f t="shared" si="133"/>
        <v>292</v>
      </c>
      <c r="HY113" s="174">
        <f t="shared" si="134"/>
        <v>201</v>
      </c>
      <c r="HZ113" s="174">
        <f t="shared" si="135"/>
        <v>191</v>
      </c>
      <c r="IA113" s="174">
        <f t="shared" si="136"/>
        <v>181</v>
      </c>
      <c r="IB113" s="174">
        <f t="shared" si="137"/>
        <v>282</v>
      </c>
      <c r="IC113" s="174">
        <f t="shared" si="138"/>
        <v>262</v>
      </c>
      <c r="ID113" s="174">
        <f t="shared" si="139"/>
        <v>171</v>
      </c>
      <c r="IE113" s="174">
        <f t="shared" si="140"/>
        <v>252</v>
      </c>
      <c r="IF113" s="174">
        <f t="shared" si="141"/>
        <v>171</v>
      </c>
      <c r="IG113" s="174">
        <f t="shared" si="142"/>
        <v>151</v>
      </c>
      <c r="IH113" s="174">
        <f t="shared" si="143"/>
        <v>141</v>
      </c>
      <c r="II113" s="174">
        <f t="shared" si="144"/>
        <v>121</v>
      </c>
      <c r="IJ113" s="174">
        <v>113</v>
      </c>
    </row>
    <row r="114" spans="1:244" ht="13.35" customHeight="1" x14ac:dyDescent="0.2">
      <c r="A114" s="183">
        <f t="shared" si="145"/>
        <v>113</v>
      </c>
      <c r="B114" s="184">
        <f t="shared" si="147"/>
        <v>36</v>
      </c>
      <c r="C114" s="183">
        <f t="shared" si="120"/>
        <v>619</v>
      </c>
      <c r="D114" s="174">
        <v>57</v>
      </c>
      <c r="E114" s="189" t="s">
        <v>744</v>
      </c>
      <c r="F114" s="174">
        <v>20</v>
      </c>
      <c r="G114" s="174">
        <v>10</v>
      </c>
      <c r="H114" s="174">
        <v>15</v>
      </c>
      <c r="J114" s="174">
        <v>5</v>
      </c>
      <c r="M114" s="174">
        <v>5</v>
      </c>
      <c r="T114" s="174">
        <v>5</v>
      </c>
      <c r="U114" s="174">
        <v>10</v>
      </c>
      <c r="V114" s="174">
        <v>5</v>
      </c>
      <c r="W114" s="174">
        <v>5</v>
      </c>
      <c r="X114" s="174">
        <v>5</v>
      </c>
      <c r="Y114" s="174">
        <v>5</v>
      </c>
      <c r="AC114" s="174">
        <v>5</v>
      </c>
      <c r="AD114" s="174">
        <v>10</v>
      </c>
      <c r="AH114" s="174">
        <v>10</v>
      </c>
      <c r="AJ114" s="174">
        <v>10</v>
      </c>
      <c r="AQ114" s="174">
        <v>10</v>
      </c>
      <c r="AU114" s="174">
        <v>10</v>
      </c>
      <c r="AX114" s="174">
        <v>5</v>
      </c>
      <c r="AY114" s="174">
        <v>10</v>
      </c>
      <c r="AZ114" s="174">
        <v>5</v>
      </c>
      <c r="BA114" s="174">
        <v>5</v>
      </c>
      <c r="BB114" s="174">
        <v>10</v>
      </c>
      <c r="BD114" s="174">
        <v>10</v>
      </c>
      <c r="BF114" s="174">
        <v>10</v>
      </c>
      <c r="BH114" s="174">
        <v>5</v>
      </c>
      <c r="BI114" s="174">
        <v>10</v>
      </c>
      <c r="BK114" s="174">
        <v>5</v>
      </c>
      <c r="BM114" s="174">
        <v>5</v>
      </c>
      <c r="BN114" s="174">
        <v>10</v>
      </c>
      <c r="BO114" s="174">
        <v>10</v>
      </c>
      <c r="BP114" s="174">
        <v>10</v>
      </c>
      <c r="BT114" s="174">
        <v>5</v>
      </c>
      <c r="BU114" s="174">
        <v>5</v>
      </c>
      <c r="BV114" s="174">
        <v>10</v>
      </c>
      <c r="BW114" s="174">
        <v>10</v>
      </c>
      <c r="BZ114" s="174">
        <v>5</v>
      </c>
      <c r="CA114" s="174">
        <v>5</v>
      </c>
      <c r="CD114" s="174">
        <v>5</v>
      </c>
      <c r="CE114" s="174">
        <v>5</v>
      </c>
      <c r="CF114" s="174">
        <v>10</v>
      </c>
      <c r="CG114" s="174">
        <v>5</v>
      </c>
      <c r="CH114" s="174">
        <v>10</v>
      </c>
      <c r="CI114" s="174">
        <v>10</v>
      </c>
      <c r="CJ114" s="174">
        <v>5</v>
      </c>
      <c r="CK114" s="174">
        <v>10</v>
      </c>
      <c r="CL114" s="174">
        <v>5</v>
      </c>
      <c r="CM114" s="174">
        <v>10</v>
      </c>
      <c r="CO114" s="174">
        <v>15</v>
      </c>
      <c r="CP114" s="174">
        <v>10</v>
      </c>
      <c r="CQ114" s="174">
        <v>10</v>
      </c>
      <c r="CS114" s="174">
        <v>15</v>
      </c>
      <c r="CT114" s="174">
        <v>10</v>
      </c>
      <c r="CU114" s="174">
        <v>5</v>
      </c>
      <c r="CV114" s="174">
        <v>10</v>
      </c>
      <c r="CY114" s="174">
        <v>5</v>
      </c>
      <c r="DA114" s="174">
        <v>15</v>
      </c>
      <c r="DC114" s="174">
        <v>5</v>
      </c>
      <c r="EE114" s="203">
        <v>1.5526000000000009</v>
      </c>
      <c r="EF114" s="174">
        <v>-10</v>
      </c>
      <c r="EZ114" s="174" t="s">
        <v>4333</v>
      </c>
      <c r="HA114" s="174">
        <v>45</v>
      </c>
      <c r="HB114" s="197">
        <v>111</v>
      </c>
      <c r="HC114" s="194">
        <v>76</v>
      </c>
      <c r="HD114" s="238">
        <v>100.5</v>
      </c>
      <c r="HE114" s="236">
        <v>25</v>
      </c>
      <c r="HF114" s="183">
        <v>176</v>
      </c>
      <c r="HG114" s="193">
        <f t="shared" si="116"/>
        <v>171</v>
      </c>
      <c r="HH114" s="192" t="e">
        <f t="shared" si="146"/>
        <v>#REF!</v>
      </c>
      <c r="HI114" s="198">
        <v>25</v>
      </c>
      <c r="HJ114" s="185">
        <v>145.5</v>
      </c>
      <c r="HK114" s="174">
        <v>112</v>
      </c>
      <c r="HL114" s="174">
        <f t="shared" si="121"/>
        <v>518</v>
      </c>
      <c r="HM114" s="174">
        <f t="shared" si="122"/>
        <v>508</v>
      </c>
      <c r="HN114" s="174">
        <f t="shared" si="123"/>
        <v>406</v>
      </c>
      <c r="HO114" s="174">
        <f t="shared" si="124"/>
        <v>314</v>
      </c>
      <c r="HP114" s="174">
        <f t="shared" si="125"/>
        <v>232</v>
      </c>
      <c r="HQ114" s="174">
        <f t="shared" si="126"/>
        <v>222</v>
      </c>
      <c r="HR114" s="174">
        <f t="shared" si="127"/>
        <v>222</v>
      </c>
      <c r="HS114" s="174">
        <f t="shared" si="128"/>
        <v>212</v>
      </c>
      <c r="HT114" s="174">
        <f t="shared" si="129"/>
        <v>202</v>
      </c>
      <c r="HU114" s="174">
        <f t="shared" si="130"/>
        <v>396</v>
      </c>
      <c r="HV114" s="174">
        <f t="shared" si="131"/>
        <v>222</v>
      </c>
      <c r="HW114" s="174">
        <f t="shared" si="132"/>
        <v>212</v>
      </c>
      <c r="HX114" s="174">
        <f t="shared" si="133"/>
        <v>294</v>
      </c>
      <c r="HY114" s="174">
        <f t="shared" si="134"/>
        <v>202</v>
      </c>
      <c r="HZ114" s="174">
        <f t="shared" si="135"/>
        <v>192</v>
      </c>
      <c r="IA114" s="174">
        <f t="shared" si="136"/>
        <v>182</v>
      </c>
      <c r="IB114" s="174">
        <f t="shared" si="137"/>
        <v>284</v>
      </c>
      <c r="IC114" s="174">
        <f t="shared" si="138"/>
        <v>264</v>
      </c>
      <c r="ID114" s="174">
        <f t="shared" si="139"/>
        <v>172</v>
      </c>
      <c r="IE114" s="174">
        <f t="shared" si="140"/>
        <v>254</v>
      </c>
      <c r="IF114" s="174">
        <f t="shared" si="141"/>
        <v>172</v>
      </c>
      <c r="IG114" s="174">
        <f t="shared" si="142"/>
        <v>152</v>
      </c>
      <c r="IH114" s="174">
        <f t="shared" si="143"/>
        <v>142</v>
      </c>
      <c r="II114" s="174">
        <f t="shared" si="144"/>
        <v>122</v>
      </c>
      <c r="IJ114" s="174">
        <v>114</v>
      </c>
    </row>
    <row r="115" spans="1:244" ht="13.35" customHeight="1" x14ac:dyDescent="0.2">
      <c r="A115" s="183">
        <f t="shared" si="145"/>
        <v>114</v>
      </c>
      <c r="B115" s="184">
        <f t="shared" si="147"/>
        <v>38</v>
      </c>
      <c r="C115" s="183">
        <f t="shared" si="120"/>
        <v>666</v>
      </c>
      <c r="E115" s="174" t="s">
        <v>1398</v>
      </c>
      <c r="U115" s="174">
        <v>20</v>
      </c>
      <c r="EE115" s="203">
        <v>1.5780000000000007</v>
      </c>
      <c r="EF115" s="174">
        <v>-10</v>
      </c>
      <c r="HA115" s="174">
        <v>46</v>
      </c>
      <c r="HB115" s="197">
        <v>112</v>
      </c>
      <c r="HC115" s="194">
        <v>76</v>
      </c>
      <c r="HD115" s="238">
        <v>101</v>
      </c>
      <c r="HE115" s="236">
        <v>25</v>
      </c>
      <c r="HF115" s="183">
        <v>177</v>
      </c>
      <c r="HG115" s="193">
        <f t="shared" si="116"/>
        <v>172</v>
      </c>
      <c r="HH115" s="192" t="e">
        <f t="shared" si="146"/>
        <v>#REF!</v>
      </c>
      <c r="HI115" s="198">
        <v>25</v>
      </c>
      <c r="HJ115" s="185">
        <v>146</v>
      </c>
      <c r="HK115" s="174">
        <v>113</v>
      </c>
      <c r="HL115" s="174">
        <f t="shared" si="121"/>
        <v>522</v>
      </c>
      <c r="HM115" s="174">
        <f t="shared" si="122"/>
        <v>512</v>
      </c>
      <c r="HN115" s="174">
        <f t="shared" si="123"/>
        <v>409</v>
      </c>
      <c r="HO115" s="174">
        <f t="shared" si="124"/>
        <v>316</v>
      </c>
      <c r="HP115" s="174">
        <f t="shared" si="125"/>
        <v>233</v>
      </c>
      <c r="HQ115" s="174">
        <f t="shared" si="126"/>
        <v>223</v>
      </c>
      <c r="HR115" s="174">
        <f t="shared" si="127"/>
        <v>223</v>
      </c>
      <c r="HS115" s="174">
        <f t="shared" si="128"/>
        <v>213</v>
      </c>
      <c r="HT115" s="174">
        <f t="shared" si="129"/>
        <v>203</v>
      </c>
      <c r="HU115" s="174">
        <f t="shared" si="130"/>
        <v>399</v>
      </c>
      <c r="HV115" s="174">
        <f t="shared" si="131"/>
        <v>223</v>
      </c>
      <c r="HW115" s="174">
        <f t="shared" si="132"/>
        <v>213</v>
      </c>
      <c r="HX115" s="174">
        <f t="shared" si="133"/>
        <v>296</v>
      </c>
      <c r="HY115" s="174">
        <f t="shared" si="134"/>
        <v>203</v>
      </c>
      <c r="HZ115" s="174">
        <f t="shared" si="135"/>
        <v>193</v>
      </c>
      <c r="IA115" s="174">
        <f t="shared" si="136"/>
        <v>183</v>
      </c>
      <c r="IB115" s="174">
        <f t="shared" si="137"/>
        <v>286</v>
      </c>
      <c r="IC115" s="174">
        <f t="shared" si="138"/>
        <v>266</v>
      </c>
      <c r="ID115" s="174">
        <f t="shared" si="139"/>
        <v>173</v>
      </c>
      <c r="IE115" s="174">
        <f t="shared" si="140"/>
        <v>256</v>
      </c>
      <c r="IF115" s="174">
        <f t="shared" si="141"/>
        <v>173</v>
      </c>
      <c r="IG115" s="174">
        <f t="shared" si="142"/>
        <v>153</v>
      </c>
      <c r="IH115" s="174">
        <f t="shared" si="143"/>
        <v>143</v>
      </c>
      <c r="II115" s="174">
        <f t="shared" si="144"/>
        <v>123</v>
      </c>
      <c r="IJ115" s="174">
        <v>115</v>
      </c>
    </row>
    <row r="116" spans="1:244" ht="13.35" customHeight="1" x14ac:dyDescent="0.2">
      <c r="A116" s="183">
        <f t="shared" si="145"/>
        <v>115</v>
      </c>
      <c r="B116" s="184">
        <f t="shared" si="147"/>
        <v>40</v>
      </c>
      <c r="C116" s="183">
        <f t="shared" si="120"/>
        <v>715</v>
      </c>
      <c r="EE116" s="203">
        <v>1.6034000000000006</v>
      </c>
      <c r="EF116" s="174">
        <v>-10</v>
      </c>
      <c r="HA116" s="174">
        <v>47</v>
      </c>
      <c r="HB116" s="197">
        <v>113</v>
      </c>
      <c r="HC116" s="194">
        <v>77</v>
      </c>
      <c r="HD116" s="238">
        <v>101.5</v>
      </c>
      <c r="HE116" s="236">
        <v>25</v>
      </c>
      <c r="HF116" s="183">
        <v>178</v>
      </c>
      <c r="HG116" s="193">
        <f t="shared" si="116"/>
        <v>173</v>
      </c>
      <c r="HH116" s="192" t="e">
        <f t="shared" si="146"/>
        <v>#REF!</v>
      </c>
      <c r="HI116" s="198">
        <v>25</v>
      </c>
      <c r="HJ116" s="185">
        <v>146.5</v>
      </c>
      <c r="HK116" s="174">
        <v>114</v>
      </c>
      <c r="HL116" s="174">
        <f t="shared" si="121"/>
        <v>526</v>
      </c>
      <c r="HM116" s="174">
        <f t="shared" si="122"/>
        <v>516</v>
      </c>
      <c r="HN116" s="174">
        <f t="shared" si="123"/>
        <v>412</v>
      </c>
      <c r="HO116" s="174">
        <f t="shared" si="124"/>
        <v>318</v>
      </c>
      <c r="HP116" s="174">
        <f t="shared" si="125"/>
        <v>234</v>
      </c>
      <c r="HQ116" s="174">
        <f t="shared" si="126"/>
        <v>224</v>
      </c>
      <c r="HR116" s="174">
        <f t="shared" si="127"/>
        <v>224</v>
      </c>
      <c r="HS116" s="174">
        <f t="shared" si="128"/>
        <v>214</v>
      </c>
      <c r="HT116" s="174">
        <f t="shared" si="129"/>
        <v>204</v>
      </c>
      <c r="HU116" s="174">
        <f t="shared" si="130"/>
        <v>402</v>
      </c>
      <c r="HV116" s="174">
        <f t="shared" si="131"/>
        <v>224</v>
      </c>
      <c r="HW116" s="174">
        <f t="shared" si="132"/>
        <v>214</v>
      </c>
      <c r="HX116" s="174">
        <f t="shared" si="133"/>
        <v>298</v>
      </c>
      <c r="HY116" s="174">
        <f t="shared" si="134"/>
        <v>204</v>
      </c>
      <c r="HZ116" s="174">
        <f t="shared" si="135"/>
        <v>194</v>
      </c>
      <c r="IA116" s="174">
        <f t="shared" si="136"/>
        <v>184</v>
      </c>
      <c r="IB116" s="174">
        <f t="shared" si="137"/>
        <v>288</v>
      </c>
      <c r="IC116" s="174">
        <f t="shared" si="138"/>
        <v>268</v>
      </c>
      <c r="ID116" s="174">
        <f t="shared" si="139"/>
        <v>174</v>
      </c>
      <c r="IE116" s="174">
        <f t="shared" si="140"/>
        <v>258</v>
      </c>
      <c r="IF116" s="174">
        <f t="shared" si="141"/>
        <v>174</v>
      </c>
      <c r="IG116" s="174">
        <f t="shared" si="142"/>
        <v>154</v>
      </c>
      <c r="IH116" s="174">
        <f t="shared" si="143"/>
        <v>144</v>
      </c>
      <c r="II116" s="174">
        <f t="shared" si="144"/>
        <v>124</v>
      </c>
      <c r="IJ116" s="174">
        <v>116</v>
      </c>
    </row>
    <row r="117" spans="1:244" ht="13.35" customHeight="1" x14ac:dyDescent="0.2">
      <c r="A117" s="183">
        <f t="shared" si="145"/>
        <v>116</v>
      </c>
      <c r="B117" s="184">
        <f t="shared" si="147"/>
        <v>42</v>
      </c>
      <c r="C117" s="183">
        <f t="shared" si="120"/>
        <v>766</v>
      </c>
      <c r="E117" s="206"/>
      <c r="F117" s="174" t="s">
        <v>782</v>
      </c>
      <c r="G117" s="174" t="s">
        <v>783</v>
      </c>
      <c r="H117" s="174" t="s">
        <v>784</v>
      </c>
      <c r="I117" s="174" t="s">
        <v>785</v>
      </c>
      <c r="J117" s="174" t="s">
        <v>786</v>
      </c>
      <c r="K117" s="174" t="s">
        <v>787</v>
      </c>
      <c r="L117" s="174" t="s">
        <v>788</v>
      </c>
      <c r="M117" s="174" t="s">
        <v>789</v>
      </c>
      <c r="N117" s="174" t="s">
        <v>790</v>
      </c>
      <c r="O117" s="174" t="s">
        <v>791</v>
      </c>
      <c r="P117" s="174" t="s">
        <v>792</v>
      </c>
      <c r="Q117" s="174" t="s">
        <v>793</v>
      </c>
      <c r="R117" s="174" t="s">
        <v>794</v>
      </c>
      <c r="S117" s="174" t="s">
        <v>182</v>
      </c>
      <c r="T117" s="174" t="s">
        <v>795</v>
      </c>
      <c r="U117" s="174" t="s">
        <v>796</v>
      </c>
      <c r="V117" s="174" t="s">
        <v>797</v>
      </c>
      <c r="W117" s="174" t="s">
        <v>798</v>
      </c>
      <c r="X117" s="174" t="s">
        <v>799</v>
      </c>
      <c r="Y117" s="174" t="s">
        <v>800</v>
      </c>
      <c r="AA117" s="174" t="str">
        <f>AA59</f>
        <v>Arcanist (AC)</v>
      </c>
      <c r="AB117" s="174" t="str">
        <f>AB59</f>
        <v>Wizard (AC)</v>
      </c>
      <c r="AC117" s="174" t="str">
        <f>AC59</f>
        <v>Chaotic (AC)</v>
      </c>
      <c r="AD117" s="174" t="str">
        <f>AD59</f>
        <v>Magehunter (AC)</v>
      </c>
      <c r="AF117" s="174" t="s">
        <v>805</v>
      </c>
      <c r="AG117" s="174" t="s">
        <v>806</v>
      </c>
      <c r="AH117" s="174" t="s">
        <v>807</v>
      </c>
      <c r="AJ117" s="174" t="s">
        <v>808</v>
      </c>
      <c r="AK117" s="174" t="s">
        <v>809</v>
      </c>
      <c r="AL117" s="174" t="s">
        <v>810</v>
      </c>
      <c r="AM117" s="174" t="s">
        <v>811</v>
      </c>
      <c r="AO117" s="174" t="s">
        <v>812</v>
      </c>
      <c r="AP117" s="174" t="s">
        <v>813</v>
      </c>
      <c r="AQ117" s="174" t="s">
        <v>814</v>
      </c>
      <c r="AS117" s="174" t="s">
        <v>815</v>
      </c>
      <c r="AT117" s="174" t="s">
        <v>816</v>
      </c>
      <c r="AU117" s="174" t="s">
        <v>817</v>
      </c>
      <c r="AV117" s="174" t="s">
        <v>818</v>
      </c>
      <c r="AW117" s="174" t="s">
        <v>819</v>
      </c>
      <c r="AX117" s="174" t="s">
        <v>820</v>
      </c>
      <c r="AY117" s="174" t="s">
        <v>821</v>
      </c>
      <c r="AZ117" s="174" t="s">
        <v>822</v>
      </c>
      <c r="BA117" s="174" t="str">
        <f t="shared" ref="BA117:CQ117" si="148">BA2</f>
        <v>Priest of Culture</v>
      </c>
      <c r="BB117" s="174" t="str">
        <f t="shared" si="148"/>
        <v>Priest of Darkness, Night</v>
      </c>
      <c r="BC117" s="174" t="str">
        <f t="shared" si="148"/>
        <v>Priest of Dawn</v>
      </c>
      <c r="BD117" s="174" t="str">
        <f t="shared" si="148"/>
        <v>Priest of Death</v>
      </c>
      <c r="BE117" s="174" t="str">
        <f t="shared" si="148"/>
        <v>Priest of Disease</v>
      </c>
      <c r="BF117" s="174" t="str">
        <f t="shared" si="148"/>
        <v>Priest of Earth</v>
      </c>
      <c r="BG117" s="174" t="str">
        <f t="shared" si="148"/>
        <v>Priest of Fate, Destiny</v>
      </c>
      <c r="BH117" s="174" t="str">
        <f t="shared" si="148"/>
        <v>Priest of Fertility</v>
      </c>
      <c r="BI117" s="174" t="str">
        <f t="shared" si="148"/>
        <v>Priest of Fire</v>
      </c>
      <c r="BJ117" s="174" t="str">
        <f t="shared" si="148"/>
        <v>Priest of Fortune, Luck</v>
      </c>
      <c r="BK117" s="174" t="str">
        <f t="shared" si="148"/>
        <v>Priest of Guardianship</v>
      </c>
      <c r="BL117" s="174" t="str">
        <f t="shared" si="148"/>
        <v>Priest of Healing</v>
      </c>
      <c r="BM117" s="174" t="str">
        <f t="shared" si="148"/>
        <v>Priest of Hunting</v>
      </c>
      <c r="BN117" s="174" t="str">
        <f t="shared" si="148"/>
        <v>Priest of Justice, Revenge</v>
      </c>
      <c r="BO117" s="174" t="str">
        <f t="shared" si="148"/>
        <v>Priest of Light</v>
      </c>
      <c r="BP117" s="174" t="str">
        <f t="shared" si="148"/>
        <v>Priest of Lightning</v>
      </c>
      <c r="BQ117" s="174" t="str">
        <f t="shared" si="148"/>
        <v>Priest of Literature</v>
      </c>
      <c r="BR117" s="174" t="str">
        <f t="shared" si="148"/>
        <v>Priest of Love</v>
      </c>
      <c r="BS117" s="174" t="str">
        <f t="shared" si="148"/>
        <v>Priest of Magic</v>
      </c>
      <c r="BT117" s="174" t="str">
        <f t="shared" si="148"/>
        <v>Priest of Marriage</v>
      </c>
      <c r="BU117" s="174" t="str">
        <f t="shared" si="148"/>
        <v>Priest of Messengers</v>
      </c>
      <c r="BV117" s="174" t="str">
        <f t="shared" si="148"/>
        <v>Priest of Metalwork</v>
      </c>
      <c r="BW117" s="174" t="str">
        <f t="shared" si="148"/>
        <v>Priest of Mischief/Trickery</v>
      </c>
      <c r="BX117" s="174" t="str">
        <f t="shared" si="148"/>
        <v>Priest of Moon</v>
      </c>
      <c r="BY117" s="174" t="str">
        <f t="shared" si="148"/>
        <v>Priest of Music, Dance</v>
      </c>
      <c r="BZ117" s="174" t="str">
        <f t="shared" si="148"/>
        <v>Priest of Nature</v>
      </c>
      <c r="CA117" s="174" t="str">
        <f t="shared" si="148"/>
        <v>Priest of Ocean, Rivers</v>
      </c>
      <c r="CB117" s="174" t="str">
        <f t="shared" si="148"/>
        <v>Priest of Oracles</v>
      </c>
      <c r="CC117" s="174" t="str">
        <f t="shared" si="148"/>
        <v>Priest of Peace</v>
      </c>
      <c r="CD117" s="174" t="str">
        <f t="shared" si="148"/>
        <v>Priest of Prosperity</v>
      </c>
      <c r="CE117" s="174" t="str">
        <f t="shared" si="148"/>
        <v>Priest of Redemption</v>
      </c>
      <c r="CF117" s="174" t="str">
        <f t="shared" si="148"/>
        <v>Priest of Rulership</v>
      </c>
      <c r="CG117" s="174" t="str">
        <f t="shared" si="148"/>
        <v>Priest of Seasons</v>
      </c>
      <c r="CH117" s="174" t="str">
        <f t="shared" si="148"/>
        <v>Priest of Sky, Weather</v>
      </c>
      <c r="CI117" s="174" t="str">
        <f t="shared" si="148"/>
        <v>Priest of Strength</v>
      </c>
      <c r="CJ117" s="174" t="str">
        <f t="shared" si="148"/>
        <v>Priest of Sun</v>
      </c>
      <c r="CK117" s="174" t="str">
        <f t="shared" si="148"/>
        <v>Priest of Thunder</v>
      </c>
      <c r="CL117" s="174" t="str">
        <f t="shared" si="148"/>
        <v>Priest of Time</v>
      </c>
      <c r="CM117" s="174" t="str">
        <f t="shared" si="148"/>
        <v>Priest of Trade</v>
      </c>
      <c r="CN117" s="174" t="str">
        <f t="shared" si="148"/>
        <v>Priest of Vegetation</v>
      </c>
      <c r="CO117" s="174" t="str">
        <f t="shared" si="148"/>
        <v>Priest of War</v>
      </c>
      <c r="CP117" s="174" t="str">
        <f t="shared" si="148"/>
        <v>Priest of Wind</v>
      </c>
      <c r="CQ117" s="174" t="str">
        <f t="shared" si="148"/>
        <v>Priest of Wisdom</v>
      </c>
      <c r="CS117" s="174" t="str">
        <f>CS59</f>
        <v>Barbarian (FRP)</v>
      </c>
      <c r="CT117" s="174" t="str">
        <f>CT59</f>
        <v>Outrider (FRP)</v>
      </c>
      <c r="CU117" s="174" t="str">
        <f>CU59</f>
        <v>Sage (FRP)</v>
      </c>
      <c r="CV117" s="174" t="str">
        <f>CV59</f>
        <v>Swashbuckler (FRP)</v>
      </c>
      <c r="CX117" s="174" t="s">
        <v>870</v>
      </c>
      <c r="CY117" s="174" t="s">
        <v>871</v>
      </c>
      <c r="CZ117" s="174" t="s">
        <v>872</v>
      </c>
      <c r="DA117" s="174" t="s">
        <v>1149</v>
      </c>
      <c r="DB117" s="174" t="s">
        <v>874</v>
      </c>
      <c r="DC117" s="174" t="s">
        <v>875</v>
      </c>
      <c r="DD117" s="174" t="s">
        <v>876</v>
      </c>
      <c r="DE117" s="174" t="str">
        <f>DE59</f>
        <v>NEW PROF</v>
      </c>
      <c r="EE117" s="203">
        <v>1.6288000000000005</v>
      </c>
      <c r="EF117" s="174">
        <v>-5</v>
      </c>
      <c r="HA117" s="174">
        <v>48</v>
      </c>
      <c r="HB117" s="197">
        <v>114</v>
      </c>
      <c r="HC117" s="194">
        <v>77</v>
      </c>
      <c r="HD117" s="238">
        <v>102</v>
      </c>
      <c r="HE117" s="236">
        <v>25</v>
      </c>
      <c r="HF117" s="183">
        <v>179</v>
      </c>
      <c r="HG117" s="193">
        <f t="shared" si="116"/>
        <v>174</v>
      </c>
      <c r="HH117" s="192" t="e">
        <f t="shared" si="146"/>
        <v>#REF!</v>
      </c>
      <c r="HI117" s="198">
        <v>25</v>
      </c>
      <c r="HJ117" s="185">
        <v>147</v>
      </c>
      <c r="HK117" s="174">
        <v>115</v>
      </c>
      <c r="HL117" s="174">
        <f t="shared" si="121"/>
        <v>530</v>
      </c>
      <c r="HM117" s="174">
        <f t="shared" si="122"/>
        <v>520</v>
      </c>
      <c r="HN117" s="174">
        <f t="shared" si="123"/>
        <v>415</v>
      </c>
      <c r="HO117" s="174">
        <f t="shared" si="124"/>
        <v>320</v>
      </c>
      <c r="HP117" s="174">
        <f t="shared" si="125"/>
        <v>235</v>
      </c>
      <c r="HQ117" s="174">
        <f t="shared" si="126"/>
        <v>225</v>
      </c>
      <c r="HR117" s="174">
        <f t="shared" si="127"/>
        <v>225</v>
      </c>
      <c r="HS117" s="174">
        <f t="shared" si="128"/>
        <v>215</v>
      </c>
      <c r="HT117" s="174">
        <f t="shared" si="129"/>
        <v>205</v>
      </c>
      <c r="HU117" s="174">
        <f t="shared" si="130"/>
        <v>405</v>
      </c>
      <c r="HV117" s="174">
        <f t="shared" si="131"/>
        <v>225</v>
      </c>
      <c r="HW117" s="174">
        <f t="shared" si="132"/>
        <v>215</v>
      </c>
      <c r="HX117" s="174">
        <f t="shared" si="133"/>
        <v>300</v>
      </c>
      <c r="HY117" s="174">
        <f t="shared" si="134"/>
        <v>205</v>
      </c>
      <c r="HZ117" s="174">
        <f t="shared" si="135"/>
        <v>195</v>
      </c>
      <c r="IA117" s="174">
        <f t="shared" si="136"/>
        <v>185</v>
      </c>
      <c r="IB117" s="174">
        <f t="shared" si="137"/>
        <v>290</v>
      </c>
      <c r="IC117" s="174">
        <f t="shared" si="138"/>
        <v>270</v>
      </c>
      <c r="ID117" s="174">
        <f t="shared" si="139"/>
        <v>175</v>
      </c>
      <c r="IE117" s="174">
        <f t="shared" si="140"/>
        <v>260</v>
      </c>
      <c r="IF117" s="174">
        <f t="shared" si="141"/>
        <v>175</v>
      </c>
      <c r="IG117" s="174">
        <f t="shared" si="142"/>
        <v>155</v>
      </c>
      <c r="IH117" s="174">
        <f t="shared" si="143"/>
        <v>145</v>
      </c>
      <c r="II117" s="174">
        <f t="shared" si="144"/>
        <v>125</v>
      </c>
      <c r="IJ117" s="174">
        <v>117</v>
      </c>
    </row>
    <row r="118" spans="1:244" ht="13.35" customHeight="1" x14ac:dyDescent="0.2">
      <c r="A118" s="183">
        <f t="shared" si="145"/>
        <v>117</v>
      </c>
      <c r="B118" s="184">
        <f t="shared" si="147"/>
        <v>44</v>
      </c>
      <c r="C118" s="183">
        <f t="shared" si="120"/>
        <v>819</v>
      </c>
      <c r="E118" s="206" t="s">
        <v>1399</v>
      </c>
      <c r="F118" s="174" t="s">
        <v>1400</v>
      </c>
      <c r="G118" s="174" t="s">
        <v>1400</v>
      </c>
      <c r="H118" s="174" t="s">
        <v>1400</v>
      </c>
      <c r="I118" s="174" t="s">
        <v>1400</v>
      </c>
      <c r="J118" s="174" t="s">
        <v>1400</v>
      </c>
      <c r="K118" s="174" t="s">
        <v>242</v>
      </c>
      <c r="L118" s="174" t="s">
        <v>242</v>
      </c>
      <c r="M118" s="174" t="s">
        <v>243</v>
      </c>
      <c r="N118" s="174" t="s">
        <v>243</v>
      </c>
      <c r="O118" s="174" t="s">
        <v>244</v>
      </c>
      <c r="P118" s="174" t="s">
        <v>244</v>
      </c>
      <c r="Q118" s="174" t="s">
        <v>887</v>
      </c>
      <c r="R118" s="174" t="s">
        <v>1401</v>
      </c>
      <c r="S118" s="174" t="s">
        <v>889</v>
      </c>
      <c r="T118" s="174" t="s">
        <v>243</v>
      </c>
      <c r="U118" s="174" t="s">
        <v>243</v>
      </c>
      <c r="V118" s="174" t="s">
        <v>242</v>
      </c>
      <c r="W118" s="174" t="s">
        <v>242</v>
      </c>
      <c r="X118" s="174" t="s">
        <v>244</v>
      </c>
      <c r="Y118" s="174" t="s">
        <v>244</v>
      </c>
      <c r="AA118" s="174" t="s">
        <v>890</v>
      </c>
      <c r="AB118" s="174" t="s">
        <v>890</v>
      </c>
      <c r="AC118" s="174" t="s">
        <v>890</v>
      </c>
      <c r="AD118" s="174" t="s">
        <v>890</v>
      </c>
      <c r="AF118" s="174" t="s">
        <v>889</v>
      </c>
      <c r="AG118" s="174" t="s">
        <v>242</v>
      </c>
      <c r="AH118" s="174" t="s">
        <v>242</v>
      </c>
      <c r="AJ118" s="174" t="s">
        <v>244</v>
      </c>
      <c r="AK118" s="174" t="s">
        <v>1401</v>
      </c>
      <c r="AL118" s="174" t="s">
        <v>244</v>
      </c>
      <c r="AM118" s="174" t="s">
        <v>887</v>
      </c>
      <c r="AO118" s="174" t="s">
        <v>889</v>
      </c>
      <c r="AP118" s="174" t="s">
        <v>887</v>
      </c>
      <c r="AQ118" s="174" t="s">
        <v>243</v>
      </c>
      <c r="AS118" s="174" t="s">
        <v>243</v>
      </c>
      <c r="AT118" s="174" t="s">
        <v>243</v>
      </c>
      <c r="AU118" s="174" t="s">
        <v>243</v>
      </c>
      <c r="AV118" s="174" t="s">
        <v>243</v>
      </c>
      <c r="AW118" s="174" t="s">
        <v>243</v>
      </c>
      <c r="AX118" s="174" t="s">
        <v>243</v>
      </c>
      <c r="AY118" s="174" t="s">
        <v>243</v>
      </c>
      <c r="AZ118" s="174" t="s">
        <v>243</v>
      </c>
      <c r="BA118" s="174" t="s">
        <v>243</v>
      </c>
      <c r="BB118" s="174" t="s">
        <v>243</v>
      </c>
      <c r="BC118" s="174" t="s">
        <v>243</v>
      </c>
      <c r="BD118" s="174" t="s">
        <v>243</v>
      </c>
      <c r="BE118" s="174" t="s">
        <v>243</v>
      </c>
      <c r="BF118" s="174" t="s">
        <v>243</v>
      </c>
      <c r="BG118" s="174" t="s">
        <v>243</v>
      </c>
      <c r="BH118" s="174" t="s">
        <v>243</v>
      </c>
      <c r="BI118" s="174" t="s">
        <v>243</v>
      </c>
      <c r="BJ118" s="174" t="s">
        <v>243</v>
      </c>
      <c r="BK118" s="174" t="s">
        <v>243</v>
      </c>
      <c r="BL118" s="174" t="s">
        <v>243</v>
      </c>
      <c r="BM118" s="174" t="s">
        <v>243</v>
      </c>
      <c r="BN118" s="174" t="s">
        <v>243</v>
      </c>
      <c r="BO118" s="174" t="s">
        <v>243</v>
      </c>
      <c r="BP118" s="174" t="s">
        <v>243</v>
      </c>
      <c r="BQ118" s="174" t="s">
        <v>243</v>
      </c>
      <c r="BR118" s="174" t="s">
        <v>243</v>
      </c>
      <c r="BS118" s="174" t="s">
        <v>243</v>
      </c>
      <c r="BT118" s="174" t="s">
        <v>243</v>
      </c>
      <c r="BU118" s="174" t="s">
        <v>243</v>
      </c>
      <c r="BV118" s="174" t="s">
        <v>243</v>
      </c>
      <c r="BW118" s="174" t="s">
        <v>243</v>
      </c>
      <c r="BX118" s="174" t="s">
        <v>243</v>
      </c>
      <c r="BY118" s="174" t="s">
        <v>243</v>
      </c>
      <c r="BZ118" s="174" t="s">
        <v>243</v>
      </c>
      <c r="CA118" s="174" t="s">
        <v>243</v>
      </c>
      <c r="CB118" s="174" t="s">
        <v>243</v>
      </c>
      <c r="CC118" s="174" t="s">
        <v>243</v>
      </c>
      <c r="CD118" s="174" t="s">
        <v>243</v>
      </c>
      <c r="CE118" s="174" t="s">
        <v>243</v>
      </c>
      <c r="CF118" s="174" t="s">
        <v>243</v>
      </c>
      <c r="CG118" s="174" t="s">
        <v>243</v>
      </c>
      <c r="CH118" s="174" t="s">
        <v>243</v>
      </c>
      <c r="CI118" s="174" t="s">
        <v>243</v>
      </c>
      <c r="CJ118" s="174" t="s">
        <v>243</v>
      </c>
      <c r="CK118" s="174" t="s">
        <v>243</v>
      </c>
      <c r="CL118" s="174" t="s">
        <v>243</v>
      </c>
      <c r="CM118" s="174" t="s">
        <v>243</v>
      </c>
      <c r="CN118" s="174" t="s">
        <v>243</v>
      </c>
      <c r="CO118" s="174" t="s">
        <v>243</v>
      </c>
      <c r="CP118" s="174" t="s">
        <v>243</v>
      </c>
      <c r="CQ118" s="174" t="s">
        <v>243</v>
      </c>
      <c r="CS118" s="174" t="s">
        <v>1400</v>
      </c>
      <c r="CT118" s="174" t="s">
        <v>1400</v>
      </c>
      <c r="CU118" s="174" t="s">
        <v>1400</v>
      </c>
      <c r="CV118" s="174" t="s">
        <v>1400</v>
      </c>
      <c r="CX118" s="174" t="s">
        <v>243</v>
      </c>
      <c r="CY118" s="174" t="s">
        <v>887</v>
      </c>
      <c r="CZ118" s="174" t="s">
        <v>887</v>
      </c>
      <c r="DA118" s="174" t="s">
        <v>1400</v>
      </c>
      <c r="DB118" s="174" t="s">
        <v>242</v>
      </c>
      <c r="DC118" s="174" t="s">
        <v>243</v>
      </c>
      <c r="DD118" s="174" t="s">
        <v>244</v>
      </c>
      <c r="EE118" s="203">
        <v>1.6542000000000003</v>
      </c>
      <c r="EF118" s="174">
        <v>-5</v>
      </c>
      <c r="HA118" s="174">
        <v>49</v>
      </c>
      <c r="HB118" s="197">
        <v>115</v>
      </c>
      <c r="HC118" s="194">
        <v>78</v>
      </c>
      <c r="HD118" s="238">
        <v>102.5</v>
      </c>
      <c r="HE118" s="236">
        <v>25</v>
      </c>
      <c r="HF118" s="183">
        <v>180</v>
      </c>
      <c r="HG118" s="193">
        <f t="shared" si="116"/>
        <v>175</v>
      </c>
      <c r="HH118" s="192" t="e">
        <f t="shared" si="146"/>
        <v>#REF!</v>
      </c>
      <c r="HI118" s="198">
        <v>25</v>
      </c>
      <c r="HJ118" s="185">
        <v>147.5</v>
      </c>
      <c r="HK118" s="174">
        <v>116</v>
      </c>
      <c r="HL118" s="174">
        <f t="shared" si="121"/>
        <v>534</v>
      </c>
      <c r="HM118" s="174">
        <f t="shared" si="122"/>
        <v>524</v>
      </c>
      <c r="HN118" s="174">
        <f t="shared" si="123"/>
        <v>418</v>
      </c>
      <c r="HO118" s="174">
        <f t="shared" si="124"/>
        <v>322</v>
      </c>
      <c r="HP118" s="174">
        <f t="shared" si="125"/>
        <v>236</v>
      </c>
      <c r="HQ118" s="174">
        <f t="shared" si="126"/>
        <v>226</v>
      </c>
      <c r="HR118" s="174">
        <f t="shared" si="127"/>
        <v>226</v>
      </c>
      <c r="HS118" s="174">
        <f t="shared" si="128"/>
        <v>216</v>
      </c>
      <c r="HT118" s="174">
        <f t="shared" si="129"/>
        <v>206</v>
      </c>
      <c r="HU118" s="174">
        <f t="shared" si="130"/>
        <v>408</v>
      </c>
      <c r="HV118" s="174">
        <f t="shared" si="131"/>
        <v>226</v>
      </c>
      <c r="HW118" s="174">
        <f t="shared" si="132"/>
        <v>216</v>
      </c>
      <c r="HX118" s="174">
        <f t="shared" si="133"/>
        <v>302</v>
      </c>
      <c r="HY118" s="174">
        <f t="shared" si="134"/>
        <v>206</v>
      </c>
      <c r="HZ118" s="174">
        <f t="shared" si="135"/>
        <v>196</v>
      </c>
      <c r="IA118" s="174">
        <f t="shared" si="136"/>
        <v>186</v>
      </c>
      <c r="IB118" s="174">
        <f t="shared" si="137"/>
        <v>292</v>
      </c>
      <c r="IC118" s="174">
        <f t="shared" si="138"/>
        <v>272</v>
      </c>
      <c r="ID118" s="174">
        <f t="shared" si="139"/>
        <v>176</v>
      </c>
      <c r="IE118" s="174">
        <f t="shared" si="140"/>
        <v>262</v>
      </c>
      <c r="IF118" s="174">
        <f t="shared" si="141"/>
        <v>176</v>
      </c>
      <c r="IG118" s="174">
        <f t="shared" si="142"/>
        <v>156</v>
      </c>
      <c r="IH118" s="174">
        <f t="shared" si="143"/>
        <v>146</v>
      </c>
      <c r="II118" s="174">
        <f t="shared" si="144"/>
        <v>126</v>
      </c>
      <c r="IJ118" s="174">
        <v>118</v>
      </c>
    </row>
    <row r="119" spans="1:244" ht="13.35" customHeight="1" x14ac:dyDescent="0.2">
      <c r="A119" s="183">
        <f t="shared" si="145"/>
        <v>118</v>
      </c>
      <c r="B119" s="184">
        <f t="shared" si="147"/>
        <v>46</v>
      </c>
      <c r="C119" s="183">
        <f t="shared" si="120"/>
        <v>874</v>
      </c>
      <c r="E119" s="206" t="s">
        <v>1402</v>
      </c>
      <c r="F119" s="174" t="s">
        <v>1403</v>
      </c>
      <c r="G119" s="174" t="s">
        <v>1404</v>
      </c>
      <c r="H119" s="174" t="s">
        <v>1405</v>
      </c>
      <c r="I119" s="174" t="s">
        <v>1406</v>
      </c>
      <c r="J119" s="174" t="s">
        <v>1407</v>
      </c>
      <c r="K119" s="174" t="s">
        <v>1408</v>
      </c>
      <c r="L119" s="174" t="s">
        <v>1408</v>
      </c>
      <c r="M119" s="174" t="s">
        <v>1409</v>
      </c>
      <c r="N119" s="174" t="s">
        <v>1409</v>
      </c>
      <c r="O119" s="174" t="s">
        <v>1410</v>
      </c>
      <c r="P119" s="174" t="s">
        <v>1410</v>
      </c>
      <c r="Q119" s="174" t="s">
        <v>1411</v>
      </c>
      <c r="R119" s="174" t="s">
        <v>1412</v>
      </c>
      <c r="S119" s="174" t="s">
        <v>1413</v>
      </c>
      <c r="T119" s="174" t="s">
        <v>1414</v>
      </c>
      <c r="U119" s="174" t="s">
        <v>1415</v>
      </c>
      <c r="V119" s="174" t="s">
        <v>1416</v>
      </c>
      <c r="W119" s="174" t="s">
        <v>1417</v>
      </c>
      <c r="X119" s="174" t="s">
        <v>1418</v>
      </c>
      <c r="Y119" s="174" t="s">
        <v>1419</v>
      </c>
      <c r="AA119" s="174" t="s">
        <v>1420</v>
      </c>
      <c r="AB119" s="174" t="s">
        <v>1420</v>
      </c>
      <c r="AC119" s="174" t="s">
        <v>4133</v>
      </c>
      <c r="AD119" s="174" t="s">
        <v>4133</v>
      </c>
      <c r="AF119" s="174" t="s">
        <v>1413</v>
      </c>
      <c r="AG119" s="174" t="s">
        <v>1417</v>
      </c>
      <c r="AH119" s="174" t="s">
        <v>1421</v>
      </c>
      <c r="AJ119" s="174" t="s">
        <v>1422</v>
      </c>
      <c r="AK119" s="174" t="s">
        <v>1423</v>
      </c>
      <c r="AL119" s="174" t="s">
        <v>1424</v>
      </c>
      <c r="AM119" s="174" t="s">
        <v>1411</v>
      </c>
      <c r="AO119" s="174" t="s">
        <v>1413</v>
      </c>
      <c r="AP119" s="174" t="s">
        <v>1411</v>
      </c>
      <c r="AQ119" s="174" t="s">
        <v>1425</v>
      </c>
      <c r="AS119" s="174" t="s">
        <v>1414</v>
      </c>
      <c r="AT119" s="174" t="s">
        <v>1409</v>
      </c>
      <c r="AU119" s="174" t="s">
        <v>1415</v>
      </c>
      <c r="AV119" s="174" t="s">
        <v>1426</v>
      </c>
      <c r="AW119" s="174" t="s">
        <v>1409</v>
      </c>
      <c r="AX119" s="174" t="s">
        <v>1415</v>
      </c>
      <c r="AY119" s="174" t="s">
        <v>1426</v>
      </c>
      <c r="AZ119" s="174" t="s">
        <v>1427</v>
      </c>
      <c r="BA119" s="174" t="s">
        <v>1409</v>
      </c>
      <c r="BB119" s="174" t="s">
        <v>1426</v>
      </c>
      <c r="BC119" s="174" t="s">
        <v>1415</v>
      </c>
      <c r="BD119" s="174" t="s">
        <v>1409</v>
      </c>
      <c r="BE119" s="174" t="s">
        <v>1414</v>
      </c>
      <c r="BF119" s="174" t="s">
        <v>1409</v>
      </c>
      <c r="BG119" s="174" t="s">
        <v>1409</v>
      </c>
      <c r="BH119" s="174" t="s">
        <v>1415</v>
      </c>
      <c r="BI119" s="174" t="s">
        <v>1426</v>
      </c>
      <c r="BJ119" s="174" t="s">
        <v>1415</v>
      </c>
      <c r="BK119" s="174" t="s">
        <v>1414</v>
      </c>
      <c r="BL119" s="174" t="s">
        <v>1426</v>
      </c>
      <c r="BM119" s="174" t="s">
        <v>1427</v>
      </c>
      <c r="BN119" s="174" t="s">
        <v>1414</v>
      </c>
      <c r="BO119" s="174" t="s">
        <v>1426</v>
      </c>
      <c r="BP119" s="174" t="s">
        <v>1414</v>
      </c>
      <c r="BQ119" s="174" t="s">
        <v>1415</v>
      </c>
      <c r="BR119" s="174" t="s">
        <v>1415</v>
      </c>
      <c r="BS119" s="174" t="s">
        <v>1426</v>
      </c>
      <c r="BT119" s="174" t="s">
        <v>1409</v>
      </c>
      <c r="BU119" s="174" t="s">
        <v>1415</v>
      </c>
      <c r="BV119" s="174" t="s">
        <v>1414</v>
      </c>
      <c r="BW119" s="174" t="s">
        <v>1426</v>
      </c>
      <c r="BX119" s="174" t="s">
        <v>1409</v>
      </c>
      <c r="BY119" s="174" t="s">
        <v>1427</v>
      </c>
      <c r="BZ119" s="174" t="s">
        <v>1409</v>
      </c>
      <c r="CA119" s="174" t="s">
        <v>1409</v>
      </c>
      <c r="CB119" s="174" t="s">
        <v>1415</v>
      </c>
      <c r="CC119" s="174" t="s">
        <v>1415</v>
      </c>
      <c r="CD119" s="174" t="s">
        <v>1409</v>
      </c>
      <c r="CE119" s="174" t="s">
        <v>1409</v>
      </c>
      <c r="CF119" s="174" t="s">
        <v>1415</v>
      </c>
      <c r="CG119" s="174" t="s">
        <v>1409</v>
      </c>
      <c r="CH119" s="174" t="s">
        <v>1414</v>
      </c>
      <c r="CI119" s="174" t="s">
        <v>1414</v>
      </c>
      <c r="CJ119" s="174" t="s">
        <v>1426</v>
      </c>
      <c r="CK119" s="174" t="s">
        <v>1414</v>
      </c>
      <c r="CL119" s="174" t="s">
        <v>1409</v>
      </c>
      <c r="CM119" s="174" t="s">
        <v>1415</v>
      </c>
      <c r="CN119" s="174" t="s">
        <v>1409</v>
      </c>
      <c r="CO119" s="174" t="s">
        <v>1414</v>
      </c>
      <c r="CP119" s="174" t="s">
        <v>1427</v>
      </c>
      <c r="CQ119" s="174" t="s">
        <v>1409</v>
      </c>
      <c r="CS119" s="174" t="s">
        <v>1403</v>
      </c>
      <c r="CT119" s="174" t="s">
        <v>1425</v>
      </c>
      <c r="CU119" s="174" t="s">
        <v>1428</v>
      </c>
      <c r="CV119" s="174" t="s">
        <v>1429</v>
      </c>
      <c r="CX119" s="174" t="s">
        <v>1430</v>
      </c>
      <c r="CY119" s="174" t="s">
        <v>1411</v>
      </c>
      <c r="CZ119" s="174" t="s">
        <v>1411</v>
      </c>
      <c r="DA119" s="174" t="s">
        <v>1403</v>
      </c>
      <c r="DB119" s="174" t="s">
        <v>1408</v>
      </c>
      <c r="DC119" s="174" t="s">
        <v>1426</v>
      </c>
      <c r="DD119" s="174" t="s">
        <v>1410</v>
      </c>
      <c r="EE119" s="203">
        <v>1.6796000000000004</v>
      </c>
      <c r="EF119" s="174">
        <v>-5</v>
      </c>
      <c r="HA119" s="174">
        <v>50</v>
      </c>
      <c r="HB119" s="197">
        <v>116</v>
      </c>
      <c r="HC119" s="194">
        <v>78</v>
      </c>
      <c r="HD119" s="238">
        <v>103</v>
      </c>
      <c r="HE119" s="236">
        <v>25</v>
      </c>
      <c r="HF119" s="183">
        <v>181</v>
      </c>
      <c r="HG119" s="193">
        <f t="shared" si="116"/>
        <v>176</v>
      </c>
      <c r="HH119" s="192" t="e">
        <f t="shared" si="146"/>
        <v>#REF!</v>
      </c>
      <c r="HI119" s="198">
        <v>25</v>
      </c>
      <c r="HJ119" s="185">
        <v>148</v>
      </c>
      <c r="HK119" s="174">
        <v>117</v>
      </c>
      <c r="HL119" s="174">
        <f t="shared" si="121"/>
        <v>538</v>
      </c>
      <c r="HM119" s="174">
        <f t="shared" si="122"/>
        <v>528</v>
      </c>
      <c r="HN119" s="174">
        <f t="shared" si="123"/>
        <v>421</v>
      </c>
      <c r="HO119" s="174">
        <f t="shared" si="124"/>
        <v>324</v>
      </c>
      <c r="HP119" s="174">
        <f t="shared" si="125"/>
        <v>237</v>
      </c>
      <c r="HQ119" s="174">
        <f t="shared" si="126"/>
        <v>227</v>
      </c>
      <c r="HR119" s="174">
        <f t="shared" si="127"/>
        <v>227</v>
      </c>
      <c r="HS119" s="174">
        <f t="shared" si="128"/>
        <v>217</v>
      </c>
      <c r="HT119" s="174">
        <f t="shared" si="129"/>
        <v>207</v>
      </c>
      <c r="HU119" s="174">
        <f t="shared" si="130"/>
        <v>411</v>
      </c>
      <c r="HV119" s="174">
        <f t="shared" si="131"/>
        <v>227</v>
      </c>
      <c r="HW119" s="174">
        <f t="shared" si="132"/>
        <v>217</v>
      </c>
      <c r="HX119" s="174">
        <f t="shared" si="133"/>
        <v>304</v>
      </c>
      <c r="HY119" s="174">
        <f t="shared" si="134"/>
        <v>207</v>
      </c>
      <c r="HZ119" s="174">
        <f t="shared" si="135"/>
        <v>197</v>
      </c>
      <c r="IA119" s="174">
        <f t="shared" si="136"/>
        <v>187</v>
      </c>
      <c r="IB119" s="174">
        <f t="shared" si="137"/>
        <v>294</v>
      </c>
      <c r="IC119" s="174">
        <f t="shared" si="138"/>
        <v>274</v>
      </c>
      <c r="ID119" s="174">
        <f t="shared" si="139"/>
        <v>177</v>
      </c>
      <c r="IE119" s="174">
        <f t="shared" si="140"/>
        <v>264</v>
      </c>
      <c r="IF119" s="174">
        <f t="shared" si="141"/>
        <v>177</v>
      </c>
      <c r="IG119" s="174">
        <f t="shared" si="142"/>
        <v>157</v>
      </c>
      <c r="IH119" s="174">
        <f t="shared" si="143"/>
        <v>147</v>
      </c>
      <c r="II119" s="174">
        <f t="shared" si="144"/>
        <v>127</v>
      </c>
      <c r="IJ119" s="174">
        <v>119</v>
      </c>
    </row>
    <row r="120" spans="1:244" ht="13.35" customHeight="1" x14ac:dyDescent="0.2">
      <c r="A120" s="183">
        <f t="shared" si="145"/>
        <v>119</v>
      </c>
      <c r="B120" s="184">
        <f t="shared" si="147"/>
        <v>48</v>
      </c>
      <c r="C120" s="183">
        <f t="shared" si="120"/>
        <v>931</v>
      </c>
      <c r="E120" s="206" t="s">
        <v>1400</v>
      </c>
      <c r="F120" s="174" t="s">
        <v>1431</v>
      </c>
      <c r="EE120" s="203">
        <v>1.7050000000000003</v>
      </c>
      <c r="EF120" s="174">
        <v>-5</v>
      </c>
      <c r="HA120" s="174">
        <v>51</v>
      </c>
      <c r="HB120" s="197">
        <v>117</v>
      </c>
      <c r="HC120" s="194">
        <v>79</v>
      </c>
      <c r="HD120" s="238">
        <v>103.5</v>
      </c>
      <c r="HE120" s="236">
        <v>25</v>
      </c>
      <c r="HF120" s="183">
        <v>182</v>
      </c>
      <c r="HG120" s="193">
        <f t="shared" si="116"/>
        <v>177</v>
      </c>
      <c r="HH120" s="192" t="e">
        <f t="shared" si="146"/>
        <v>#REF!</v>
      </c>
      <c r="HI120" s="198">
        <v>25</v>
      </c>
      <c r="HJ120" s="185">
        <v>148.5</v>
      </c>
      <c r="HK120" s="174">
        <v>118</v>
      </c>
      <c r="HL120" s="174">
        <f t="shared" si="121"/>
        <v>542</v>
      </c>
      <c r="HM120" s="174">
        <f t="shared" si="122"/>
        <v>532</v>
      </c>
      <c r="HN120" s="174">
        <f t="shared" si="123"/>
        <v>424</v>
      </c>
      <c r="HO120" s="174">
        <f t="shared" si="124"/>
        <v>326</v>
      </c>
      <c r="HP120" s="174">
        <f t="shared" si="125"/>
        <v>238</v>
      </c>
      <c r="HQ120" s="174">
        <f t="shared" si="126"/>
        <v>228</v>
      </c>
      <c r="HR120" s="174">
        <f t="shared" si="127"/>
        <v>228</v>
      </c>
      <c r="HS120" s="174">
        <f t="shared" si="128"/>
        <v>218</v>
      </c>
      <c r="HT120" s="174">
        <f t="shared" si="129"/>
        <v>208</v>
      </c>
      <c r="HU120" s="174">
        <f t="shared" si="130"/>
        <v>414</v>
      </c>
      <c r="HV120" s="174">
        <f t="shared" si="131"/>
        <v>228</v>
      </c>
      <c r="HW120" s="174">
        <f t="shared" si="132"/>
        <v>218</v>
      </c>
      <c r="HX120" s="174">
        <f t="shared" si="133"/>
        <v>306</v>
      </c>
      <c r="HY120" s="174">
        <f t="shared" si="134"/>
        <v>208</v>
      </c>
      <c r="HZ120" s="174">
        <f t="shared" si="135"/>
        <v>198</v>
      </c>
      <c r="IA120" s="174">
        <f t="shared" si="136"/>
        <v>188</v>
      </c>
      <c r="IB120" s="174">
        <f t="shared" si="137"/>
        <v>296</v>
      </c>
      <c r="IC120" s="174">
        <f t="shared" si="138"/>
        <v>276</v>
      </c>
      <c r="ID120" s="174">
        <f t="shared" si="139"/>
        <v>178</v>
      </c>
      <c r="IE120" s="174">
        <f t="shared" si="140"/>
        <v>266</v>
      </c>
      <c r="IF120" s="174">
        <f t="shared" si="141"/>
        <v>178</v>
      </c>
      <c r="IG120" s="174">
        <f t="shared" si="142"/>
        <v>158</v>
      </c>
      <c r="IH120" s="174">
        <f t="shared" si="143"/>
        <v>148</v>
      </c>
      <c r="II120" s="174">
        <f t="shared" si="144"/>
        <v>128</v>
      </c>
      <c r="IJ120" s="174">
        <v>120</v>
      </c>
    </row>
    <row r="121" spans="1:244" ht="13.35" customHeight="1" x14ac:dyDescent="0.2">
      <c r="A121" s="183">
        <f t="shared" si="145"/>
        <v>120</v>
      </c>
      <c r="B121" s="184">
        <f t="shared" si="147"/>
        <v>50</v>
      </c>
      <c r="C121" s="183">
        <f t="shared" si="120"/>
        <v>990</v>
      </c>
      <c r="E121" s="206" t="s">
        <v>242</v>
      </c>
      <c r="F121" s="174">
        <f>Stats!I21</f>
        <v>4</v>
      </c>
      <c r="EE121" s="203">
        <v>1.7304000000000002</v>
      </c>
      <c r="EF121" s="174">
        <v>-5</v>
      </c>
      <c r="HA121" s="174">
        <v>52</v>
      </c>
      <c r="HB121" s="197">
        <v>118</v>
      </c>
      <c r="HC121" s="194">
        <v>79</v>
      </c>
      <c r="HD121" s="238">
        <v>104</v>
      </c>
      <c r="HE121" s="236">
        <v>25</v>
      </c>
      <c r="HF121" s="183">
        <v>183</v>
      </c>
      <c r="HG121" s="193">
        <f t="shared" si="116"/>
        <v>178</v>
      </c>
      <c r="HH121" s="192" t="e">
        <f t="shared" si="146"/>
        <v>#REF!</v>
      </c>
      <c r="HI121" s="198">
        <v>25</v>
      </c>
      <c r="HJ121" s="185">
        <v>149</v>
      </c>
      <c r="HK121" s="174">
        <v>119</v>
      </c>
      <c r="HL121" s="174">
        <f t="shared" si="121"/>
        <v>546</v>
      </c>
      <c r="HM121" s="174">
        <f t="shared" si="122"/>
        <v>536</v>
      </c>
      <c r="HN121" s="174">
        <f t="shared" si="123"/>
        <v>427</v>
      </c>
      <c r="HO121" s="174">
        <f t="shared" si="124"/>
        <v>328</v>
      </c>
      <c r="HP121" s="174">
        <f t="shared" si="125"/>
        <v>239</v>
      </c>
      <c r="HQ121" s="174">
        <f t="shared" si="126"/>
        <v>229</v>
      </c>
      <c r="HR121" s="174">
        <f t="shared" si="127"/>
        <v>229</v>
      </c>
      <c r="HS121" s="174">
        <f t="shared" si="128"/>
        <v>219</v>
      </c>
      <c r="HT121" s="174">
        <f t="shared" si="129"/>
        <v>209</v>
      </c>
      <c r="HU121" s="174">
        <f t="shared" si="130"/>
        <v>417</v>
      </c>
      <c r="HV121" s="174">
        <f t="shared" si="131"/>
        <v>229</v>
      </c>
      <c r="HW121" s="174">
        <f t="shared" si="132"/>
        <v>219</v>
      </c>
      <c r="HX121" s="174">
        <f t="shared" si="133"/>
        <v>308</v>
      </c>
      <c r="HY121" s="174">
        <f t="shared" si="134"/>
        <v>209</v>
      </c>
      <c r="HZ121" s="174">
        <f t="shared" si="135"/>
        <v>199</v>
      </c>
      <c r="IA121" s="174">
        <f t="shared" si="136"/>
        <v>189</v>
      </c>
      <c r="IB121" s="174">
        <f t="shared" si="137"/>
        <v>298</v>
      </c>
      <c r="IC121" s="174">
        <f t="shared" si="138"/>
        <v>278</v>
      </c>
      <c r="ID121" s="174">
        <f t="shared" si="139"/>
        <v>179</v>
      </c>
      <c r="IE121" s="174">
        <f t="shared" si="140"/>
        <v>268</v>
      </c>
      <c r="IF121" s="174">
        <f t="shared" si="141"/>
        <v>179</v>
      </c>
      <c r="IG121" s="174">
        <f t="shared" si="142"/>
        <v>159</v>
      </c>
      <c r="IH121" s="174">
        <f t="shared" si="143"/>
        <v>149</v>
      </c>
      <c r="II121" s="174">
        <f t="shared" si="144"/>
        <v>129</v>
      </c>
      <c r="IJ121" s="174">
        <v>121</v>
      </c>
    </row>
    <row r="122" spans="1:244" ht="13.35" customHeight="1" x14ac:dyDescent="0.2">
      <c r="A122" s="183">
        <f t="shared" si="145"/>
        <v>121</v>
      </c>
      <c r="B122" s="184">
        <f t="shared" si="147"/>
        <v>52</v>
      </c>
      <c r="C122" s="183">
        <f t="shared" si="120"/>
        <v>1051</v>
      </c>
      <c r="E122" s="206" t="s">
        <v>243</v>
      </c>
      <c r="F122" s="174">
        <f>Stats!I22</f>
        <v>4</v>
      </c>
      <c r="EE122" s="203">
        <v>1.7558</v>
      </c>
      <c r="EF122" s="174">
        <v>-5</v>
      </c>
      <c r="HA122" s="174">
        <v>53</v>
      </c>
      <c r="HB122" s="197">
        <v>119</v>
      </c>
      <c r="HC122" s="194">
        <v>80</v>
      </c>
      <c r="HD122" s="238">
        <v>104.5</v>
      </c>
      <c r="HE122" s="236">
        <v>25</v>
      </c>
      <c r="HF122" s="183">
        <v>184</v>
      </c>
      <c r="HG122" s="193">
        <f t="shared" si="116"/>
        <v>179</v>
      </c>
      <c r="HH122" s="192" t="e">
        <f t="shared" si="146"/>
        <v>#REF!</v>
      </c>
      <c r="HI122" s="198">
        <v>25</v>
      </c>
      <c r="HJ122" s="185">
        <v>149.5</v>
      </c>
      <c r="HK122" s="182">
        <v>120</v>
      </c>
      <c r="HL122" s="174">
        <f t="shared" si="121"/>
        <v>550</v>
      </c>
      <c r="HM122" s="174">
        <f t="shared" si="122"/>
        <v>540</v>
      </c>
      <c r="HN122" s="174">
        <f t="shared" si="123"/>
        <v>430</v>
      </c>
      <c r="HO122" s="174">
        <f t="shared" si="124"/>
        <v>330</v>
      </c>
      <c r="HP122" s="174">
        <f t="shared" si="125"/>
        <v>240</v>
      </c>
      <c r="HQ122" s="174">
        <f t="shared" si="126"/>
        <v>230</v>
      </c>
      <c r="HR122" s="174">
        <f t="shared" si="127"/>
        <v>230</v>
      </c>
      <c r="HS122" s="174">
        <f t="shared" si="128"/>
        <v>220</v>
      </c>
      <c r="HT122" s="174">
        <f t="shared" si="129"/>
        <v>210</v>
      </c>
      <c r="HU122" s="174">
        <f t="shared" si="130"/>
        <v>420</v>
      </c>
      <c r="HV122" s="174">
        <f t="shared" si="131"/>
        <v>230</v>
      </c>
      <c r="HW122" s="174">
        <f t="shared" si="132"/>
        <v>220</v>
      </c>
      <c r="HX122" s="174">
        <f t="shared" si="133"/>
        <v>310</v>
      </c>
      <c r="HY122" s="174">
        <f t="shared" si="134"/>
        <v>210</v>
      </c>
      <c r="HZ122" s="174">
        <f t="shared" si="135"/>
        <v>200</v>
      </c>
      <c r="IA122" s="174">
        <f t="shared" si="136"/>
        <v>190</v>
      </c>
      <c r="IB122" s="174">
        <f t="shared" si="137"/>
        <v>300</v>
      </c>
      <c r="IC122" s="174">
        <f t="shared" si="138"/>
        <v>280</v>
      </c>
      <c r="ID122" s="174">
        <f t="shared" si="139"/>
        <v>180</v>
      </c>
      <c r="IE122" s="174">
        <f t="shared" si="140"/>
        <v>270</v>
      </c>
      <c r="IF122" s="174">
        <f t="shared" si="141"/>
        <v>180</v>
      </c>
      <c r="IG122" s="174">
        <f t="shared" si="142"/>
        <v>160</v>
      </c>
      <c r="IH122" s="174">
        <f t="shared" si="143"/>
        <v>150</v>
      </c>
      <c r="II122" s="174">
        <f t="shared" si="144"/>
        <v>130</v>
      </c>
      <c r="IJ122" s="182">
        <v>122</v>
      </c>
    </row>
    <row r="123" spans="1:244" ht="13.35" customHeight="1" x14ac:dyDescent="0.2">
      <c r="A123" s="183">
        <f t="shared" si="145"/>
        <v>122</v>
      </c>
      <c r="B123" s="184">
        <f t="shared" si="147"/>
        <v>54</v>
      </c>
      <c r="C123" s="183">
        <f t="shared" si="120"/>
        <v>1114</v>
      </c>
      <c r="E123" s="206" t="s">
        <v>244</v>
      </c>
      <c r="F123" s="174">
        <f>Stats!I20</f>
        <v>-6</v>
      </c>
      <c r="EE123" s="203">
        <v>1.7812000000000001</v>
      </c>
      <c r="EF123" s="174">
        <v>0</v>
      </c>
      <c r="HA123" s="174">
        <v>54</v>
      </c>
      <c r="HB123" s="197">
        <v>120</v>
      </c>
      <c r="HC123" s="194">
        <v>80</v>
      </c>
      <c r="HD123" s="238">
        <v>105</v>
      </c>
      <c r="HE123" s="236">
        <v>25</v>
      </c>
      <c r="HF123" s="183">
        <v>185</v>
      </c>
      <c r="HG123" s="193">
        <f t="shared" si="116"/>
        <v>180</v>
      </c>
      <c r="HH123" s="192" t="e">
        <f t="shared" si="146"/>
        <v>#REF!</v>
      </c>
      <c r="HI123" s="198">
        <v>25</v>
      </c>
      <c r="HJ123" s="185">
        <v>150</v>
      </c>
      <c r="HK123" s="174">
        <v>121</v>
      </c>
      <c r="HL123" s="174">
        <f t="shared" si="121"/>
        <v>554</v>
      </c>
      <c r="HM123" s="174">
        <f t="shared" si="122"/>
        <v>544</v>
      </c>
      <c r="HN123" s="174">
        <f t="shared" si="123"/>
        <v>433</v>
      </c>
      <c r="HO123" s="174">
        <f t="shared" si="124"/>
        <v>332</v>
      </c>
      <c r="HP123" s="174">
        <f t="shared" si="125"/>
        <v>241</v>
      </c>
      <c r="HQ123" s="174">
        <f t="shared" si="126"/>
        <v>231</v>
      </c>
      <c r="HR123" s="174">
        <f t="shared" si="127"/>
        <v>231</v>
      </c>
      <c r="HS123" s="174">
        <f t="shared" si="128"/>
        <v>221</v>
      </c>
      <c r="HT123" s="174">
        <f t="shared" si="129"/>
        <v>211</v>
      </c>
      <c r="HU123" s="174">
        <f t="shared" si="130"/>
        <v>423</v>
      </c>
      <c r="HV123" s="174">
        <f t="shared" si="131"/>
        <v>231</v>
      </c>
      <c r="HW123" s="174">
        <f t="shared" si="132"/>
        <v>221</v>
      </c>
      <c r="HX123" s="174">
        <f t="shared" si="133"/>
        <v>312</v>
      </c>
      <c r="HY123" s="174">
        <f t="shared" si="134"/>
        <v>211</v>
      </c>
      <c r="HZ123" s="174">
        <f t="shared" si="135"/>
        <v>201</v>
      </c>
      <c r="IA123" s="174">
        <f t="shared" si="136"/>
        <v>191</v>
      </c>
      <c r="IB123" s="174">
        <f t="shared" si="137"/>
        <v>302</v>
      </c>
      <c r="IC123" s="174">
        <f t="shared" si="138"/>
        <v>282</v>
      </c>
      <c r="ID123" s="174">
        <f t="shared" si="139"/>
        <v>181</v>
      </c>
      <c r="IE123" s="174">
        <f t="shared" si="140"/>
        <v>272</v>
      </c>
      <c r="IF123" s="174">
        <f t="shared" si="141"/>
        <v>181</v>
      </c>
      <c r="IG123" s="174">
        <f t="shared" si="142"/>
        <v>161</v>
      </c>
      <c r="IH123" s="174">
        <f t="shared" si="143"/>
        <v>151</v>
      </c>
      <c r="II123" s="174">
        <f t="shared" si="144"/>
        <v>131</v>
      </c>
      <c r="IJ123" s="174">
        <v>123</v>
      </c>
    </row>
    <row r="124" spans="1:244" ht="13.35" customHeight="1" x14ac:dyDescent="0.2">
      <c r="A124" s="183">
        <f t="shared" si="145"/>
        <v>123</v>
      </c>
      <c r="B124" s="184">
        <f t="shared" si="147"/>
        <v>56</v>
      </c>
      <c r="C124" s="183">
        <f t="shared" ref="C124:C151" si="149">90+(A124-90)^2</f>
        <v>1179</v>
      </c>
      <c r="E124" s="206" t="s">
        <v>887</v>
      </c>
      <c r="F124" s="205">
        <f>(F122+F123)/2</f>
        <v>-1</v>
      </c>
      <c r="EE124" s="203">
        <v>1.8066</v>
      </c>
      <c r="EF124" s="174">
        <v>0</v>
      </c>
      <c r="HB124" s="197">
        <v>121</v>
      </c>
      <c r="HC124" s="194">
        <v>80</v>
      </c>
      <c r="HD124" s="238">
        <v>105.5</v>
      </c>
      <c r="HE124" s="236">
        <v>25</v>
      </c>
      <c r="HF124" s="183">
        <v>186</v>
      </c>
      <c r="HG124" s="193">
        <f t="shared" si="116"/>
        <v>181</v>
      </c>
      <c r="HH124" s="192" t="e">
        <f t="shared" si="146"/>
        <v>#REF!</v>
      </c>
      <c r="HI124" s="198">
        <v>25</v>
      </c>
      <c r="HJ124" s="185">
        <v>150.5</v>
      </c>
      <c r="HK124" s="174">
        <v>122</v>
      </c>
      <c r="HL124" s="174">
        <f t="shared" si="121"/>
        <v>558</v>
      </c>
      <c r="HM124" s="174">
        <f t="shared" si="122"/>
        <v>548</v>
      </c>
      <c r="HN124" s="174">
        <f t="shared" si="123"/>
        <v>436</v>
      </c>
      <c r="HO124" s="174">
        <f t="shared" si="124"/>
        <v>334</v>
      </c>
      <c r="HP124" s="174">
        <f t="shared" si="125"/>
        <v>242</v>
      </c>
      <c r="HQ124" s="174">
        <f t="shared" si="126"/>
        <v>232</v>
      </c>
      <c r="HR124" s="174">
        <f t="shared" si="127"/>
        <v>232</v>
      </c>
      <c r="HS124" s="174">
        <f t="shared" si="128"/>
        <v>222</v>
      </c>
      <c r="HT124" s="174">
        <f t="shared" si="129"/>
        <v>212</v>
      </c>
      <c r="HU124" s="174">
        <f t="shared" si="130"/>
        <v>426</v>
      </c>
      <c r="HV124" s="174">
        <f t="shared" si="131"/>
        <v>232</v>
      </c>
      <c r="HW124" s="174">
        <f t="shared" si="132"/>
        <v>222</v>
      </c>
      <c r="HX124" s="174">
        <f t="shared" si="133"/>
        <v>314</v>
      </c>
      <c r="HY124" s="174">
        <f t="shared" si="134"/>
        <v>212</v>
      </c>
      <c r="HZ124" s="174">
        <f t="shared" si="135"/>
        <v>202</v>
      </c>
      <c r="IA124" s="174">
        <f t="shared" si="136"/>
        <v>192</v>
      </c>
      <c r="IB124" s="174">
        <f t="shared" si="137"/>
        <v>304</v>
      </c>
      <c r="IC124" s="174">
        <f t="shared" si="138"/>
        <v>284</v>
      </c>
      <c r="ID124" s="174">
        <f t="shared" si="139"/>
        <v>182</v>
      </c>
      <c r="IE124" s="174">
        <f t="shared" si="140"/>
        <v>274</v>
      </c>
      <c r="IF124" s="174">
        <f t="shared" si="141"/>
        <v>182</v>
      </c>
      <c r="IG124" s="174">
        <f t="shared" si="142"/>
        <v>162</v>
      </c>
      <c r="IH124" s="174">
        <f t="shared" si="143"/>
        <v>152</v>
      </c>
      <c r="II124" s="174">
        <f t="shared" si="144"/>
        <v>132</v>
      </c>
      <c r="IJ124" s="174">
        <v>124</v>
      </c>
    </row>
    <row r="125" spans="1:244" ht="13.35" customHeight="1" x14ac:dyDescent="0.2">
      <c r="A125" s="183">
        <f t="shared" si="145"/>
        <v>124</v>
      </c>
      <c r="B125" s="184">
        <f t="shared" si="147"/>
        <v>58</v>
      </c>
      <c r="C125" s="183">
        <f t="shared" si="149"/>
        <v>1246</v>
      </c>
      <c r="E125" s="206" t="s">
        <v>1401</v>
      </c>
      <c r="F125" s="205">
        <f>(F121+F123)/2</f>
        <v>-1</v>
      </c>
      <c r="EE125" s="203">
        <v>1.8319999999999999</v>
      </c>
      <c r="EF125" s="174">
        <v>0</v>
      </c>
      <c r="HB125" s="197">
        <v>122</v>
      </c>
      <c r="HC125" s="194">
        <v>80</v>
      </c>
      <c r="HD125" s="238">
        <v>106</v>
      </c>
      <c r="HE125" s="236">
        <v>25</v>
      </c>
      <c r="HF125" s="183">
        <v>187</v>
      </c>
      <c r="HG125" s="193">
        <f t="shared" si="116"/>
        <v>182</v>
      </c>
      <c r="HH125" s="192" t="e">
        <f t="shared" si="146"/>
        <v>#REF!</v>
      </c>
      <c r="HI125" s="198">
        <v>25</v>
      </c>
      <c r="HJ125" s="185">
        <v>151</v>
      </c>
      <c r="HK125" s="174">
        <v>123</v>
      </c>
      <c r="HL125" s="174">
        <f t="shared" si="121"/>
        <v>562</v>
      </c>
      <c r="HM125" s="174">
        <f t="shared" si="122"/>
        <v>552</v>
      </c>
      <c r="HN125" s="174">
        <f t="shared" si="123"/>
        <v>439</v>
      </c>
      <c r="HO125" s="174">
        <f t="shared" si="124"/>
        <v>336</v>
      </c>
      <c r="HP125" s="174">
        <f t="shared" si="125"/>
        <v>243</v>
      </c>
      <c r="HQ125" s="174">
        <f t="shared" si="126"/>
        <v>233</v>
      </c>
      <c r="HR125" s="174">
        <f t="shared" si="127"/>
        <v>233</v>
      </c>
      <c r="HS125" s="174">
        <f t="shared" si="128"/>
        <v>223</v>
      </c>
      <c r="HT125" s="174">
        <f t="shared" si="129"/>
        <v>213</v>
      </c>
      <c r="HU125" s="174">
        <f t="shared" si="130"/>
        <v>429</v>
      </c>
      <c r="HV125" s="174">
        <f t="shared" si="131"/>
        <v>233</v>
      </c>
      <c r="HW125" s="174">
        <f t="shared" si="132"/>
        <v>223</v>
      </c>
      <c r="HX125" s="174">
        <f t="shared" si="133"/>
        <v>316</v>
      </c>
      <c r="HY125" s="174">
        <f t="shared" si="134"/>
        <v>213</v>
      </c>
      <c r="HZ125" s="174">
        <f t="shared" si="135"/>
        <v>203</v>
      </c>
      <c r="IA125" s="174">
        <f t="shared" si="136"/>
        <v>193</v>
      </c>
      <c r="IB125" s="174">
        <f t="shared" si="137"/>
        <v>306</v>
      </c>
      <c r="IC125" s="174">
        <f t="shared" si="138"/>
        <v>286</v>
      </c>
      <c r="ID125" s="174">
        <f t="shared" si="139"/>
        <v>183</v>
      </c>
      <c r="IE125" s="174">
        <f t="shared" si="140"/>
        <v>276</v>
      </c>
      <c r="IF125" s="174">
        <f t="shared" si="141"/>
        <v>183</v>
      </c>
      <c r="IG125" s="174">
        <f t="shared" si="142"/>
        <v>163</v>
      </c>
      <c r="IH125" s="174">
        <f t="shared" si="143"/>
        <v>153</v>
      </c>
      <c r="II125" s="174">
        <f t="shared" si="144"/>
        <v>133</v>
      </c>
      <c r="IJ125" s="174">
        <v>125</v>
      </c>
    </row>
    <row r="126" spans="1:244" ht="13.35" customHeight="1" x14ac:dyDescent="0.2">
      <c r="A126" s="183">
        <f t="shared" si="145"/>
        <v>125</v>
      </c>
      <c r="B126" s="184">
        <f t="shared" si="147"/>
        <v>60</v>
      </c>
      <c r="C126" s="183">
        <f t="shared" si="149"/>
        <v>1315</v>
      </c>
      <c r="E126" s="206" t="s">
        <v>889</v>
      </c>
      <c r="F126" s="205">
        <f>(F121+F122)/2</f>
        <v>4</v>
      </c>
      <c r="EE126" s="203">
        <v>1.8573999999999997</v>
      </c>
      <c r="EF126" s="174">
        <v>0</v>
      </c>
      <c r="HB126" s="197">
        <v>123</v>
      </c>
      <c r="HC126" s="194">
        <v>81</v>
      </c>
      <c r="HD126" s="238">
        <v>106.5</v>
      </c>
      <c r="HE126" s="236">
        <v>25</v>
      </c>
      <c r="HF126" s="183">
        <v>188</v>
      </c>
      <c r="HG126" s="193">
        <f t="shared" si="116"/>
        <v>183</v>
      </c>
      <c r="HH126" s="192" t="e">
        <f t="shared" si="146"/>
        <v>#REF!</v>
      </c>
      <c r="HI126" s="198">
        <v>25</v>
      </c>
      <c r="HJ126" s="185">
        <v>151.5</v>
      </c>
      <c r="HK126" s="174">
        <v>124</v>
      </c>
      <c r="HL126" s="174">
        <f t="shared" si="121"/>
        <v>566</v>
      </c>
      <c r="HM126" s="174">
        <f t="shared" si="122"/>
        <v>556</v>
      </c>
      <c r="HN126" s="174">
        <f t="shared" si="123"/>
        <v>442</v>
      </c>
      <c r="HO126" s="174">
        <f t="shared" si="124"/>
        <v>338</v>
      </c>
      <c r="HP126" s="174">
        <f t="shared" si="125"/>
        <v>244</v>
      </c>
      <c r="HQ126" s="174">
        <f t="shared" si="126"/>
        <v>234</v>
      </c>
      <c r="HR126" s="174">
        <f t="shared" si="127"/>
        <v>234</v>
      </c>
      <c r="HS126" s="174">
        <f t="shared" si="128"/>
        <v>224</v>
      </c>
      <c r="HT126" s="174">
        <f t="shared" si="129"/>
        <v>214</v>
      </c>
      <c r="HU126" s="174">
        <f t="shared" si="130"/>
        <v>432</v>
      </c>
      <c r="HV126" s="174">
        <f t="shared" si="131"/>
        <v>234</v>
      </c>
      <c r="HW126" s="174">
        <f t="shared" si="132"/>
        <v>224</v>
      </c>
      <c r="HX126" s="174">
        <f t="shared" si="133"/>
        <v>318</v>
      </c>
      <c r="HY126" s="174">
        <f t="shared" si="134"/>
        <v>214</v>
      </c>
      <c r="HZ126" s="174">
        <f t="shared" si="135"/>
        <v>204</v>
      </c>
      <c r="IA126" s="174">
        <f t="shared" si="136"/>
        <v>194</v>
      </c>
      <c r="IB126" s="174">
        <f t="shared" si="137"/>
        <v>308</v>
      </c>
      <c r="IC126" s="174">
        <f t="shared" si="138"/>
        <v>288</v>
      </c>
      <c r="ID126" s="174">
        <f t="shared" si="139"/>
        <v>184</v>
      </c>
      <c r="IE126" s="174">
        <f t="shared" si="140"/>
        <v>278</v>
      </c>
      <c r="IF126" s="174">
        <f t="shared" si="141"/>
        <v>184</v>
      </c>
      <c r="IG126" s="174">
        <f t="shared" si="142"/>
        <v>164</v>
      </c>
      <c r="IH126" s="174">
        <f t="shared" si="143"/>
        <v>154</v>
      </c>
      <c r="II126" s="174">
        <f t="shared" si="144"/>
        <v>134</v>
      </c>
      <c r="IJ126" s="174">
        <v>126</v>
      </c>
    </row>
    <row r="127" spans="1:244" ht="13.35" customHeight="1" x14ac:dyDescent="0.2">
      <c r="A127" s="183">
        <f t="shared" si="145"/>
        <v>126</v>
      </c>
      <c r="B127" s="184">
        <f t="shared" si="147"/>
        <v>62</v>
      </c>
      <c r="C127" s="183">
        <f t="shared" si="149"/>
        <v>1386</v>
      </c>
      <c r="E127" s="206" t="s">
        <v>890</v>
      </c>
      <c r="F127" s="205">
        <f>(F121+F122+F123)/3</f>
        <v>0.66666666666666663</v>
      </c>
      <c r="EE127" s="203">
        <v>1.8827999999999998</v>
      </c>
      <c r="EF127" s="174">
        <v>0</v>
      </c>
      <c r="EN127" s="182" t="s">
        <v>173</v>
      </c>
      <c r="EO127" s="268" t="s">
        <v>4193</v>
      </c>
      <c r="EP127" s="268" t="s">
        <v>916</v>
      </c>
      <c r="EQ127" s="268" t="s">
        <v>916</v>
      </c>
      <c r="ER127" s="268" t="s">
        <v>895</v>
      </c>
      <c r="ES127" s="268" t="s">
        <v>895</v>
      </c>
      <c r="ET127" s="268" t="s">
        <v>895</v>
      </c>
      <c r="EU127" s="268" t="s">
        <v>4055</v>
      </c>
      <c r="EV127" s="268" t="s">
        <v>4055</v>
      </c>
      <c r="EW127" s="268" t="s">
        <v>4055</v>
      </c>
      <c r="EX127" s="268" t="s">
        <v>4055</v>
      </c>
      <c r="EY127" s="268" t="s">
        <v>4055</v>
      </c>
      <c r="EZ127" s="268" t="s">
        <v>4055</v>
      </c>
      <c r="FA127" s="268" t="s">
        <v>4184</v>
      </c>
      <c r="FB127" s="268" t="s">
        <v>4184</v>
      </c>
      <c r="FC127" s="268" t="s">
        <v>4184</v>
      </c>
      <c r="FD127" s="268" t="s">
        <v>905</v>
      </c>
      <c r="FE127" s="268" t="s">
        <v>905</v>
      </c>
      <c r="FF127" s="268" t="s">
        <v>905</v>
      </c>
      <c r="FG127" s="268" t="s">
        <v>4186</v>
      </c>
      <c r="FH127" s="268" t="s">
        <v>4186</v>
      </c>
      <c r="FI127" s="268" t="s">
        <v>4186</v>
      </c>
      <c r="FJ127" s="268" t="s">
        <v>4186</v>
      </c>
      <c r="FK127" s="268" t="s">
        <v>4186</v>
      </c>
      <c r="FL127" s="268" t="s">
        <v>4186</v>
      </c>
      <c r="FM127" s="268" t="s">
        <v>4186</v>
      </c>
      <c r="FN127" s="268" t="s">
        <v>4186</v>
      </c>
      <c r="FO127" s="268" t="s">
        <v>4186</v>
      </c>
      <c r="FP127" s="268" t="s">
        <v>4186</v>
      </c>
      <c r="FQ127" s="268" t="s">
        <v>4186</v>
      </c>
      <c r="FR127" s="268" t="s">
        <v>4186</v>
      </c>
      <c r="FS127" s="268" t="s">
        <v>4186</v>
      </c>
      <c r="FT127" s="268" t="s">
        <v>4186</v>
      </c>
      <c r="FU127" s="268" t="s">
        <v>4186</v>
      </c>
      <c r="FV127" s="268" t="s">
        <v>4186</v>
      </c>
      <c r="FW127" s="268" t="s">
        <v>4186</v>
      </c>
      <c r="FX127" s="268" t="s">
        <v>4186</v>
      </c>
      <c r="FY127" s="268" t="s">
        <v>1013</v>
      </c>
      <c r="FZ127" s="268" t="s">
        <v>1013</v>
      </c>
      <c r="GA127" s="202"/>
      <c r="GB127" s="202"/>
      <c r="GC127" s="202"/>
      <c r="GD127" s="182"/>
      <c r="GE127" s="202"/>
      <c r="GF127" s="202"/>
      <c r="GG127" s="202"/>
      <c r="GH127" s="202"/>
      <c r="GI127" s="202"/>
      <c r="GJ127" s="202"/>
      <c r="GK127" s="202"/>
      <c r="GL127" s="202"/>
      <c r="GM127" s="202"/>
      <c r="GN127" s="202"/>
      <c r="GO127" s="202"/>
      <c r="GP127" s="202"/>
      <c r="GQ127" s="202"/>
      <c r="GR127" s="182"/>
      <c r="GS127" s="182"/>
      <c r="GT127" s="182"/>
      <c r="GU127" s="182"/>
      <c r="GV127" s="182"/>
      <c r="GW127" s="182"/>
      <c r="GX127" s="182"/>
      <c r="GY127" s="182"/>
      <c r="GZ127" s="182"/>
      <c r="HB127" s="197">
        <v>124</v>
      </c>
      <c r="HC127" s="194">
        <v>81</v>
      </c>
      <c r="HD127" s="238">
        <v>107</v>
      </c>
      <c r="HE127" s="236">
        <v>25</v>
      </c>
      <c r="HF127" s="183">
        <v>189</v>
      </c>
      <c r="HG127" s="193">
        <f t="shared" si="116"/>
        <v>184</v>
      </c>
      <c r="HH127" s="192" t="e">
        <f t="shared" si="146"/>
        <v>#REF!</v>
      </c>
      <c r="HI127" s="198">
        <v>25</v>
      </c>
      <c r="HJ127" s="185">
        <v>152</v>
      </c>
      <c r="HK127" s="174">
        <v>125</v>
      </c>
      <c r="HL127" s="174">
        <f t="shared" si="121"/>
        <v>570</v>
      </c>
      <c r="HM127" s="174">
        <f t="shared" si="122"/>
        <v>560</v>
      </c>
      <c r="HN127" s="174">
        <f t="shared" si="123"/>
        <v>445</v>
      </c>
      <c r="HO127" s="174">
        <f t="shared" si="124"/>
        <v>340</v>
      </c>
      <c r="HP127" s="174">
        <f t="shared" si="125"/>
        <v>245</v>
      </c>
      <c r="HQ127" s="174">
        <f t="shared" si="126"/>
        <v>235</v>
      </c>
      <c r="HR127" s="174">
        <f t="shared" si="127"/>
        <v>235</v>
      </c>
      <c r="HS127" s="174">
        <f t="shared" si="128"/>
        <v>225</v>
      </c>
      <c r="HT127" s="174">
        <f t="shared" si="129"/>
        <v>215</v>
      </c>
      <c r="HU127" s="174">
        <f t="shared" si="130"/>
        <v>435</v>
      </c>
      <c r="HV127" s="174">
        <f t="shared" si="131"/>
        <v>235</v>
      </c>
      <c r="HW127" s="174">
        <f t="shared" si="132"/>
        <v>225</v>
      </c>
      <c r="HX127" s="174">
        <f t="shared" si="133"/>
        <v>320</v>
      </c>
      <c r="HY127" s="174">
        <f t="shared" si="134"/>
        <v>215</v>
      </c>
      <c r="HZ127" s="174">
        <f t="shared" si="135"/>
        <v>205</v>
      </c>
      <c r="IA127" s="174">
        <f t="shared" si="136"/>
        <v>195</v>
      </c>
      <c r="IB127" s="174">
        <f t="shared" si="137"/>
        <v>310</v>
      </c>
      <c r="IC127" s="174">
        <f t="shared" si="138"/>
        <v>290</v>
      </c>
      <c r="ID127" s="174">
        <f t="shared" si="139"/>
        <v>185</v>
      </c>
      <c r="IE127" s="174">
        <f t="shared" si="140"/>
        <v>280</v>
      </c>
      <c r="IF127" s="174">
        <f t="shared" si="141"/>
        <v>185</v>
      </c>
      <c r="IG127" s="174">
        <f t="shared" si="142"/>
        <v>165</v>
      </c>
      <c r="IH127" s="174">
        <f t="shared" si="143"/>
        <v>155</v>
      </c>
      <c r="II127" s="174">
        <f t="shared" si="144"/>
        <v>135</v>
      </c>
      <c r="IJ127" s="174">
        <v>127</v>
      </c>
    </row>
    <row r="128" spans="1:244" ht="13.35" customHeight="1" x14ac:dyDescent="0.2">
      <c r="A128" s="183">
        <f t="shared" si="145"/>
        <v>127</v>
      </c>
      <c r="B128" s="184">
        <f t="shared" si="147"/>
        <v>64</v>
      </c>
      <c r="C128" s="183">
        <f t="shared" si="149"/>
        <v>1459</v>
      </c>
      <c r="EE128" s="203">
        <v>1.9081999999999995</v>
      </c>
      <c r="EF128" s="174">
        <v>0</v>
      </c>
      <c r="EN128" s="182"/>
      <c r="EO128" s="268" t="s">
        <v>4193</v>
      </c>
      <c r="EP128" s="268" t="s">
        <v>977</v>
      </c>
      <c r="EQ128" s="268" t="s">
        <v>976</v>
      </c>
      <c r="ER128" s="268" t="s">
        <v>4360</v>
      </c>
      <c r="ES128" s="268" t="s">
        <v>4359</v>
      </c>
      <c r="ET128" s="268" t="s">
        <v>4364</v>
      </c>
      <c r="EU128" s="268" t="s">
        <v>4181</v>
      </c>
      <c r="EV128" s="268" t="s">
        <v>899</v>
      </c>
      <c r="EW128" s="268" t="s">
        <v>4172</v>
      </c>
      <c r="EX128" s="268" t="s">
        <v>4171</v>
      </c>
      <c r="EY128" s="268" t="s">
        <v>4180</v>
      </c>
      <c r="EZ128" s="268" t="s">
        <v>4173</v>
      </c>
      <c r="FA128" s="268" t="s">
        <v>4183</v>
      </c>
      <c r="FB128" s="268" t="s">
        <v>4349</v>
      </c>
      <c r="FC128" s="268" t="s">
        <v>4185</v>
      </c>
      <c r="FD128" s="268" t="s">
        <v>4361</v>
      </c>
      <c r="FE128" s="268" t="s">
        <v>4393</v>
      </c>
      <c r="FF128" s="268" t="s">
        <v>4371</v>
      </c>
      <c r="FG128" s="268" t="s">
        <v>4269</v>
      </c>
      <c r="FH128" s="268" t="s">
        <v>4197</v>
      </c>
      <c r="FI128" s="268" t="s">
        <v>4187</v>
      </c>
      <c r="FJ128" s="268" t="s">
        <v>4188</v>
      </c>
      <c r="FK128" s="268" t="s">
        <v>4195</v>
      </c>
      <c r="FL128" s="268" t="s">
        <v>4198</v>
      </c>
      <c r="FM128" s="268" t="s">
        <v>4199</v>
      </c>
      <c r="FN128" s="268" t="s">
        <v>4200</v>
      </c>
      <c r="FO128" s="268" t="s">
        <v>4189</v>
      </c>
      <c r="FP128" s="268" t="s">
        <v>4388</v>
      </c>
      <c r="FQ128" s="268" t="s">
        <v>4190</v>
      </c>
      <c r="FR128" s="268" t="s">
        <v>4201</v>
      </c>
      <c r="FS128" s="268" t="s">
        <v>4191</v>
      </c>
      <c r="FT128" s="268" t="s">
        <v>4202</v>
      </c>
      <c r="FU128" s="268" t="s">
        <v>4192</v>
      </c>
      <c r="FV128" s="268" t="s">
        <v>4203</v>
      </c>
      <c r="FW128" s="268" t="s">
        <v>4377</v>
      </c>
      <c r="FX128" s="268" t="s">
        <v>4204</v>
      </c>
      <c r="FY128" s="268" t="s">
        <v>913</v>
      </c>
      <c r="FZ128" s="268" t="s">
        <v>1058</v>
      </c>
      <c r="GA128" s="202"/>
      <c r="GB128" s="202"/>
      <c r="GC128" s="202"/>
      <c r="GD128" s="182"/>
      <c r="GE128" s="202"/>
      <c r="GF128" s="202"/>
      <c r="GG128" s="202"/>
      <c r="GH128" s="202"/>
      <c r="GI128" s="202"/>
      <c r="GJ128" s="202"/>
      <c r="GK128" s="202"/>
      <c r="GL128" s="202"/>
      <c r="GM128" s="202"/>
      <c r="GN128" s="202"/>
      <c r="GO128" s="202"/>
      <c r="GP128" s="202"/>
      <c r="GQ128" s="202"/>
      <c r="GR128" s="182"/>
      <c r="GS128" s="182"/>
      <c r="GT128" s="182"/>
      <c r="GU128" s="182"/>
      <c r="GV128" s="182"/>
      <c r="GW128" s="182"/>
      <c r="GX128" s="182"/>
      <c r="GY128" s="182"/>
      <c r="GZ128" s="182"/>
      <c r="HA128" s="174">
        <v>1</v>
      </c>
      <c r="HB128" s="197">
        <v>125</v>
      </c>
      <c r="HC128" s="194">
        <v>82</v>
      </c>
      <c r="HD128" s="238">
        <v>107.5</v>
      </c>
      <c r="HE128" s="236">
        <v>25</v>
      </c>
      <c r="HF128" s="183">
        <v>190</v>
      </c>
      <c r="HG128" s="193">
        <f t="shared" si="116"/>
        <v>185</v>
      </c>
      <c r="HH128" s="192" t="e">
        <f t="shared" si="146"/>
        <v>#REF!</v>
      </c>
      <c r="HI128" s="198">
        <v>25</v>
      </c>
      <c r="HJ128" s="185">
        <v>152.5</v>
      </c>
      <c r="HK128" s="174">
        <v>126</v>
      </c>
      <c r="HL128" s="174">
        <f t="shared" si="121"/>
        <v>574</v>
      </c>
      <c r="HM128" s="174">
        <f t="shared" si="122"/>
        <v>564</v>
      </c>
      <c r="HN128" s="174">
        <f t="shared" si="123"/>
        <v>448</v>
      </c>
      <c r="HO128" s="174">
        <f t="shared" si="124"/>
        <v>342</v>
      </c>
      <c r="HP128" s="174">
        <f t="shared" si="125"/>
        <v>246</v>
      </c>
      <c r="HQ128" s="174">
        <f t="shared" si="126"/>
        <v>236</v>
      </c>
      <c r="HR128" s="174">
        <f t="shared" si="127"/>
        <v>236</v>
      </c>
      <c r="HS128" s="174">
        <f t="shared" si="128"/>
        <v>226</v>
      </c>
      <c r="HT128" s="174">
        <f t="shared" si="129"/>
        <v>216</v>
      </c>
      <c r="HU128" s="174">
        <f t="shared" si="130"/>
        <v>438</v>
      </c>
      <c r="HV128" s="174">
        <f t="shared" si="131"/>
        <v>236</v>
      </c>
      <c r="HW128" s="174">
        <f t="shared" si="132"/>
        <v>226</v>
      </c>
      <c r="HX128" s="174">
        <f t="shared" si="133"/>
        <v>322</v>
      </c>
      <c r="HY128" s="174">
        <f t="shared" si="134"/>
        <v>216</v>
      </c>
      <c r="HZ128" s="174">
        <f t="shared" si="135"/>
        <v>206</v>
      </c>
      <c r="IA128" s="174">
        <f t="shared" si="136"/>
        <v>196</v>
      </c>
      <c r="IB128" s="174">
        <f t="shared" si="137"/>
        <v>312</v>
      </c>
      <c r="IC128" s="174">
        <f t="shared" si="138"/>
        <v>292</v>
      </c>
      <c r="ID128" s="174">
        <f t="shared" si="139"/>
        <v>186</v>
      </c>
      <c r="IE128" s="174">
        <f t="shared" si="140"/>
        <v>282</v>
      </c>
      <c r="IF128" s="174">
        <f t="shared" si="141"/>
        <v>186</v>
      </c>
      <c r="IG128" s="174">
        <f t="shared" si="142"/>
        <v>166</v>
      </c>
      <c r="IH128" s="174">
        <f t="shared" si="143"/>
        <v>156</v>
      </c>
      <c r="II128" s="174">
        <f t="shared" si="144"/>
        <v>136</v>
      </c>
      <c r="IJ128" s="174">
        <v>128</v>
      </c>
    </row>
    <row r="129" spans="1:244" ht="13.35" customHeight="1" x14ac:dyDescent="0.2">
      <c r="A129" s="183">
        <f t="shared" si="145"/>
        <v>128</v>
      </c>
      <c r="B129" s="184">
        <f t="shared" si="147"/>
        <v>66</v>
      </c>
      <c r="C129" s="183">
        <f t="shared" si="149"/>
        <v>1534</v>
      </c>
      <c r="F129" s="174" t="s">
        <v>782</v>
      </c>
      <c r="G129" s="174" t="s">
        <v>783</v>
      </c>
      <c r="H129" s="174" t="s">
        <v>784</v>
      </c>
      <c r="I129" s="174" t="s">
        <v>785</v>
      </c>
      <c r="J129" s="174" t="s">
        <v>786</v>
      </c>
      <c r="K129" s="174" t="s">
        <v>787</v>
      </c>
      <c r="L129" s="174" t="s">
        <v>788</v>
      </c>
      <c r="M129" s="174" t="s">
        <v>789</v>
      </c>
      <c r="N129" s="174" t="s">
        <v>790</v>
      </c>
      <c r="O129" s="174" t="s">
        <v>791</v>
      </c>
      <c r="P129" s="174" t="s">
        <v>792</v>
      </c>
      <c r="Q129" s="174" t="s">
        <v>793</v>
      </c>
      <c r="R129" s="174" t="s">
        <v>794</v>
      </c>
      <c r="S129" s="174" t="s">
        <v>182</v>
      </c>
      <c r="T129" s="174" t="s">
        <v>795</v>
      </c>
      <c r="U129" s="174" t="s">
        <v>796</v>
      </c>
      <c r="V129" s="174" t="s">
        <v>797</v>
      </c>
      <c r="W129" s="174" t="s">
        <v>798</v>
      </c>
      <c r="X129" s="174" t="s">
        <v>799</v>
      </c>
      <c r="Y129" s="174" t="s">
        <v>800</v>
      </c>
      <c r="AA129" s="174" t="str">
        <f>AA117</f>
        <v>Arcanist (AC)</v>
      </c>
      <c r="AB129" s="174" t="str">
        <f>AB117</f>
        <v>Wizard (AC)</v>
      </c>
      <c r="AC129" s="174" t="str">
        <f>AC117</f>
        <v>Chaotic (AC)</v>
      </c>
      <c r="AD129" s="174" t="str">
        <f>AD117</f>
        <v>Magehunter (AC)</v>
      </c>
      <c r="AF129" s="174" t="s">
        <v>805</v>
      </c>
      <c r="AG129" s="174" t="s">
        <v>806</v>
      </c>
      <c r="AH129" s="174" t="s">
        <v>807</v>
      </c>
      <c r="AJ129" s="174" t="s">
        <v>808</v>
      </c>
      <c r="AK129" s="174" t="s">
        <v>809</v>
      </c>
      <c r="AL129" s="174" t="s">
        <v>810</v>
      </c>
      <c r="AM129" s="174" t="s">
        <v>811</v>
      </c>
      <c r="AO129" s="174" t="s">
        <v>812</v>
      </c>
      <c r="AP129" s="174" t="s">
        <v>813</v>
      </c>
      <c r="AQ129" s="174" t="s">
        <v>814</v>
      </c>
      <c r="AS129" s="174" t="s">
        <v>815</v>
      </c>
      <c r="AT129" s="174" t="s">
        <v>816</v>
      </c>
      <c r="AU129" s="174" t="s">
        <v>817</v>
      </c>
      <c r="AV129" s="174" t="s">
        <v>818</v>
      </c>
      <c r="AW129" s="174" t="s">
        <v>819</v>
      </c>
      <c r="AX129" s="174" t="s">
        <v>820</v>
      </c>
      <c r="AY129" s="174" t="s">
        <v>821</v>
      </c>
      <c r="AZ129" s="174" t="s">
        <v>822</v>
      </c>
      <c r="BA129" s="174" t="str">
        <f t="shared" ref="BA129:CQ129" si="150">BA117</f>
        <v>Priest of Culture</v>
      </c>
      <c r="BB129" s="174" t="str">
        <f t="shared" si="150"/>
        <v>Priest of Darkness, Night</v>
      </c>
      <c r="BC129" s="174" t="str">
        <f t="shared" si="150"/>
        <v>Priest of Dawn</v>
      </c>
      <c r="BD129" s="174" t="str">
        <f t="shared" si="150"/>
        <v>Priest of Death</v>
      </c>
      <c r="BE129" s="174" t="str">
        <f t="shared" si="150"/>
        <v>Priest of Disease</v>
      </c>
      <c r="BF129" s="174" t="str">
        <f t="shared" si="150"/>
        <v>Priest of Earth</v>
      </c>
      <c r="BG129" s="174" t="str">
        <f t="shared" si="150"/>
        <v>Priest of Fate, Destiny</v>
      </c>
      <c r="BH129" s="174" t="str">
        <f t="shared" si="150"/>
        <v>Priest of Fertility</v>
      </c>
      <c r="BI129" s="174" t="str">
        <f t="shared" si="150"/>
        <v>Priest of Fire</v>
      </c>
      <c r="BJ129" s="174" t="str">
        <f t="shared" si="150"/>
        <v>Priest of Fortune, Luck</v>
      </c>
      <c r="BK129" s="174" t="str">
        <f t="shared" si="150"/>
        <v>Priest of Guardianship</v>
      </c>
      <c r="BL129" s="174" t="str">
        <f t="shared" si="150"/>
        <v>Priest of Healing</v>
      </c>
      <c r="BM129" s="174" t="str">
        <f t="shared" si="150"/>
        <v>Priest of Hunting</v>
      </c>
      <c r="BN129" s="174" t="str">
        <f t="shared" si="150"/>
        <v>Priest of Justice, Revenge</v>
      </c>
      <c r="BO129" s="174" t="str">
        <f t="shared" si="150"/>
        <v>Priest of Light</v>
      </c>
      <c r="BP129" s="174" t="str">
        <f t="shared" si="150"/>
        <v>Priest of Lightning</v>
      </c>
      <c r="BQ129" s="174" t="str">
        <f t="shared" si="150"/>
        <v>Priest of Literature</v>
      </c>
      <c r="BR129" s="174" t="str">
        <f t="shared" si="150"/>
        <v>Priest of Love</v>
      </c>
      <c r="BS129" s="174" t="str">
        <f t="shared" si="150"/>
        <v>Priest of Magic</v>
      </c>
      <c r="BT129" s="174" t="str">
        <f t="shared" si="150"/>
        <v>Priest of Marriage</v>
      </c>
      <c r="BU129" s="174" t="str">
        <f t="shared" si="150"/>
        <v>Priest of Messengers</v>
      </c>
      <c r="BV129" s="174" t="str">
        <f t="shared" si="150"/>
        <v>Priest of Metalwork</v>
      </c>
      <c r="BW129" s="174" t="str">
        <f t="shared" si="150"/>
        <v>Priest of Mischief/Trickery</v>
      </c>
      <c r="BX129" s="174" t="str">
        <f t="shared" si="150"/>
        <v>Priest of Moon</v>
      </c>
      <c r="BY129" s="174" t="str">
        <f t="shared" si="150"/>
        <v>Priest of Music, Dance</v>
      </c>
      <c r="BZ129" s="174" t="str">
        <f t="shared" si="150"/>
        <v>Priest of Nature</v>
      </c>
      <c r="CA129" s="174" t="str">
        <f t="shared" si="150"/>
        <v>Priest of Ocean, Rivers</v>
      </c>
      <c r="CB129" s="174" t="str">
        <f t="shared" si="150"/>
        <v>Priest of Oracles</v>
      </c>
      <c r="CC129" s="174" t="str">
        <f t="shared" si="150"/>
        <v>Priest of Peace</v>
      </c>
      <c r="CD129" s="174" t="str">
        <f t="shared" si="150"/>
        <v>Priest of Prosperity</v>
      </c>
      <c r="CE129" s="174" t="str">
        <f t="shared" si="150"/>
        <v>Priest of Redemption</v>
      </c>
      <c r="CF129" s="174" t="str">
        <f t="shared" si="150"/>
        <v>Priest of Rulership</v>
      </c>
      <c r="CG129" s="174" t="str">
        <f t="shared" si="150"/>
        <v>Priest of Seasons</v>
      </c>
      <c r="CH129" s="174" t="str">
        <f t="shared" si="150"/>
        <v>Priest of Sky, Weather</v>
      </c>
      <c r="CI129" s="174" t="str">
        <f t="shared" si="150"/>
        <v>Priest of Strength</v>
      </c>
      <c r="CJ129" s="174" t="str">
        <f t="shared" si="150"/>
        <v>Priest of Sun</v>
      </c>
      <c r="CK129" s="174" t="str">
        <f t="shared" si="150"/>
        <v>Priest of Thunder</v>
      </c>
      <c r="CL129" s="174" t="str">
        <f t="shared" si="150"/>
        <v>Priest of Time</v>
      </c>
      <c r="CM129" s="174" t="str">
        <f t="shared" si="150"/>
        <v>Priest of Trade</v>
      </c>
      <c r="CN129" s="174" t="str">
        <f t="shared" si="150"/>
        <v>Priest of Vegetation</v>
      </c>
      <c r="CO129" s="174" t="str">
        <f t="shared" si="150"/>
        <v>Priest of War</v>
      </c>
      <c r="CP129" s="174" t="str">
        <f t="shared" si="150"/>
        <v>Priest of Wind</v>
      </c>
      <c r="CQ129" s="174" t="str">
        <f t="shared" si="150"/>
        <v>Priest of Wisdom</v>
      </c>
      <c r="CS129" s="174" t="str">
        <f>CS117</f>
        <v>Barbarian (FRP)</v>
      </c>
      <c r="CT129" s="174" t="str">
        <f>CT117</f>
        <v>Outrider (FRP)</v>
      </c>
      <c r="CU129" s="174" t="str">
        <f>CU117</f>
        <v>Sage (FRP)</v>
      </c>
      <c r="CV129" s="174" t="str">
        <f>CV117</f>
        <v>Swashbuckler (FRP)</v>
      </c>
      <c r="CX129" s="174" t="s">
        <v>870</v>
      </c>
      <c r="CY129" s="174" t="s">
        <v>871</v>
      </c>
      <c r="CZ129" s="174" t="s">
        <v>872</v>
      </c>
      <c r="DA129" s="174" t="s">
        <v>1149</v>
      </c>
      <c r="DB129" s="174" t="s">
        <v>874</v>
      </c>
      <c r="DC129" s="174" t="s">
        <v>875</v>
      </c>
      <c r="DD129" s="174" t="s">
        <v>876</v>
      </c>
      <c r="DE129" s="174" t="str">
        <f>DE117</f>
        <v>NEW PROF</v>
      </c>
      <c r="DF129" s="174">
        <v>1</v>
      </c>
      <c r="EE129" s="203">
        <v>1.9335999999999995</v>
      </c>
      <c r="EF129" s="174">
        <v>5</v>
      </c>
      <c r="EO129" s="174" t="s">
        <v>4218</v>
      </c>
      <c r="EP129" s="174" t="s">
        <v>4207</v>
      </c>
      <c r="EQ129" s="174" t="s">
        <v>4207</v>
      </c>
      <c r="ER129" s="174" t="s">
        <v>4208</v>
      </c>
      <c r="ES129" s="174" t="s">
        <v>4208</v>
      </c>
      <c r="ET129" s="174" t="s">
        <v>4208</v>
      </c>
      <c r="EU129" s="174" t="s">
        <v>4209</v>
      </c>
      <c r="EV129" s="174" t="s">
        <v>4209</v>
      </c>
      <c r="EW129" s="174" t="s">
        <v>4209</v>
      </c>
      <c r="EX129" s="174" t="s">
        <v>4209</v>
      </c>
      <c r="EY129" s="174" t="s">
        <v>4209</v>
      </c>
      <c r="EZ129" s="174" t="s">
        <v>4209</v>
      </c>
      <c r="FA129" s="174" t="s">
        <v>4240</v>
      </c>
      <c r="FB129" s="174" t="s">
        <v>4240</v>
      </c>
      <c r="FC129" s="174" t="s">
        <v>4240</v>
      </c>
      <c r="FD129" s="174" t="s">
        <v>905</v>
      </c>
      <c r="FE129" s="174" t="s">
        <v>905</v>
      </c>
      <c r="FF129" s="174" t="s">
        <v>905</v>
      </c>
      <c r="FG129" s="174" t="s">
        <v>4207</v>
      </c>
      <c r="FH129" s="174" t="s">
        <v>4207</v>
      </c>
      <c r="FI129" s="174" t="s">
        <v>4207</v>
      </c>
      <c r="FJ129" s="174" t="s">
        <v>4207</v>
      </c>
      <c r="FK129" s="174" t="s">
        <v>4207</v>
      </c>
      <c r="FL129" s="174" t="s">
        <v>4207</v>
      </c>
      <c r="FM129" s="174" t="s">
        <v>4207</v>
      </c>
      <c r="FN129" s="174" t="s">
        <v>4207</v>
      </c>
      <c r="FO129" s="174" t="s">
        <v>4207</v>
      </c>
      <c r="FP129" s="174" t="s">
        <v>4207</v>
      </c>
      <c r="FQ129" s="174" t="s">
        <v>4207</v>
      </c>
      <c r="FR129" s="174" t="s">
        <v>4207</v>
      </c>
      <c r="FS129" s="174" t="s">
        <v>4207</v>
      </c>
      <c r="FT129" s="174" t="s">
        <v>4207</v>
      </c>
      <c r="FU129" s="174" t="s">
        <v>4207</v>
      </c>
      <c r="FV129" s="174" t="s">
        <v>4207</v>
      </c>
      <c r="FW129" s="174" t="s">
        <v>4207</v>
      </c>
      <c r="FX129" s="174" t="s">
        <v>4207</v>
      </c>
      <c r="FY129" s="174" t="s">
        <v>4301</v>
      </c>
      <c r="FZ129" s="174" t="s">
        <v>4207</v>
      </c>
      <c r="HA129" s="174">
        <v>2</v>
      </c>
      <c r="HB129" s="197">
        <v>126</v>
      </c>
      <c r="HC129" s="194">
        <v>82</v>
      </c>
      <c r="HD129" s="238">
        <v>108</v>
      </c>
      <c r="HE129" s="236">
        <v>25</v>
      </c>
      <c r="HF129" s="183">
        <v>191</v>
      </c>
      <c r="HG129" s="193">
        <f t="shared" si="116"/>
        <v>186</v>
      </c>
      <c r="HH129" s="192" t="e">
        <f t="shared" si="146"/>
        <v>#REF!</v>
      </c>
      <c r="HI129" s="198">
        <v>25</v>
      </c>
      <c r="HJ129" s="185">
        <v>153</v>
      </c>
      <c r="HK129" s="174">
        <v>127</v>
      </c>
      <c r="HL129" s="174">
        <f t="shared" si="121"/>
        <v>578</v>
      </c>
      <c r="HM129" s="174">
        <f t="shared" si="122"/>
        <v>568</v>
      </c>
      <c r="HN129" s="174">
        <f t="shared" si="123"/>
        <v>451</v>
      </c>
      <c r="HO129" s="174">
        <f t="shared" si="124"/>
        <v>344</v>
      </c>
      <c r="HP129" s="174">
        <f t="shared" si="125"/>
        <v>247</v>
      </c>
      <c r="HQ129" s="174">
        <f t="shared" si="126"/>
        <v>237</v>
      </c>
      <c r="HR129" s="174">
        <f t="shared" si="127"/>
        <v>237</v>
      </c>
      <c r="HS129" s="174">
        <f t="shared" si="128"/>
        <v>227</v>
      </c>
      <c r="HT129" s="174">
        <f t="shared" si="129"/>
        <v>217</v>
      </c>
      <c r="HU129" s="174">
        <f t="shared" si="130"/>
        <v>441</v>
      </c>
      <c r="HV129" s="174">
        <f t="shared" si="131"/>
        <v>237</v>
      </c>
      <c r="HW129" s="174">
        <f t="shared" si="132"/>
        <v>227</v>
      </c>
      <c r="HX129" s="174">
        <f t="shared" si="133"/>
        <v>324</v>
      </c>
      <c r="HY129" s="174">
        <f t="shared" si="134"/>
        <v>217</v>
      </c>
      <c r="HZ129" s="174">
        <f t="shared" si="135"/>
        <v>207</v>
      </c>
      <c r="IA129" s="174">
        <f t="shared" si="136"/>
        <v>197</v>
      </c>
      <c r="IB129" s="174">
        <f t="shared" si="137"/>
        <v>314</v>
      </c>
      <c r="IC129" s="174">
        <f t="shared" si="138"/>
        <v>294</v>
      </c>
      <c r="ID129" s="174">
        <f t="shared" si="139"/>
        <v>187</v>
      </c>
      <c r="IE129" s="174">
        <f t="shared" si="140"/>
        <v>284</v>
      </c>
      <c r="IF129" s="174">
        <f t="shared" si="141"/>
        <v>187</v>
      </c>
      <c r="IG129" s="174">
        <f t="shared" si="142"/>
        <v>167</v>
      </c>
      <c r="IH129" s="174">
        <f t="shared" si="143"/>
        <v>157</v>
      </c>
      <c r="II129" s="174">
        <f t="shared" si="144"/>
        <v>137</v>
      </c>
      <c r="IJ129" s="174">
        <v>129</v>
      </c>
    </row>
    <row r="130" spans="1:244" ht="13.35" customHeight="1" x14ac:dyDescent="0.2">
      <c r="A130" s="183">
        <f t="shared" si="145"/>
        <v>129</v>
      </c>
      <c r="B130" s="184">
        <f t="shared" si="147"/>
        <v>68</v>
      </c>
      <c r="C130" s="183">
        <f t="shared" si="149"/>
        <v>1611</v>
      </c>
      <c r="F130" s="174" t="s">
        <v>1460</v>
      </c>
      <c r="G130" s="174" t="s">
        <v>1460</v>
      </c>
      <c r="H130" s="174" t="s">
        <v>1460</v>
      </c>
      <c r="I130" s="174" t="s">
        <v>1460</v>
      </c>
      <c r="J130" s="174" t="s">
        <v>1460</v>
      </c>
      <c r="K130" s="174" t="s">
        <v>1461</v>
      </c>
      <c r="L130" s="174" t="s">
        <v>1462</v>
      </c>
      <c r="M130" s="174" t="s">
        <v>1463</v>
      </c>
      <c r="N130" s="174" t="s">
        <v>603</v>
      </c>
      <c r="O130" s="174" t="s">
        <v>1464</v>
      </c>
      <c r="P130" s="174" t="s">
        <v>1465</v>
      </c>
      <c r="Q130" s="174" t="s">
        <v>1466</v>
      </c>
      <c r="R130" s="174" t="s">
        <v>1467</v>
      </c>
      <c r="S130" s="174" t="s">
        <v>1468</v>
      </c>
      <c r="T130" s="174" t="s">
        <v>1469</v>
      </c>
      <c r="U130" s="174" t="s">
        <v>1470</v>
      </c>
      <c r="V130" s="174" t="s">
        <v>1471</v>
      </c>
      <c r="W130" s="174" t="s">
        <v>1472</v>
      </c>
      <c r="X130" s="174" t="s">
        <v>1473</v>
      </c>
      <c r="Y130" s="174" t="s">
        <v>1474</v>
      </c>
      <c r="AA130" s="174" t="s">
        <v>1475</v>
      </c>
      <c r="AB130" s="174" t="s">
        <v>1476</v>
      </c>
      <c r="AC130" s="174" t="s">
        <v>1477</v>
      </c>
      <c r="AD130" s="174" t="s">
        <v>1478</v>
      </c>
      <c r="AF130" s="174" t="s">
        <v>1479</v>
      </c>
      <c r="AG130" s="174" t="s">
        <v>1480</v>
      </c>
      <c r="AH130" s="174" t="s">
        <v>1481</v>
      </c>
      <c r="AJ130" s="174" t="s">
        <v>1482</v>
      </c>
      <c r="AK130" s="174" t="s">
        <v>1483</v>
      </c>
      <c r="AL130" s="174" t="s">
        <v>1484</v>
      </c>
      <c r="AM130" s="174" t="s">
        <v>1485</v>
      </c>
      <c r="AO130" s="174" t="s">
        <v>1486</v>
      </c>
      <c r="AP130" s="174" t="s">
        <v>1487</v>
      </c>
      <c r="AQ130" s="174" t="s">
        <v>1488</v>
      </c>
      <c r="AS130" s="174" t="s">
        <v>1489</v>
      </c>
      <c r="AT130" s="174" t="s">
        <v>1489</v>
      </c>
      <c r="AU130" s="174" t="s">
        <v>1463</v>
      </c>
      <c r="AV130" s="174" t="s">
        <v>1490</v>
      </c>
      <c r="AW130" s="174" t="s">
        <v>1491</v>
      </c>
      <c r="AX130" s="174" t="s">
        <v>1489</v>
      </c>
      <c r="AY130" s="174" t="s">
        <v>1489</v>
      </c>
      <c r="AZ130" s="174" t="s">
        <v>1463</v>
      </c>
      <c r="BA130" s="174" t="s">
        <v>1489</v>
      </c>
      <c r="BB130" s="174" t="s">
        <v>1490</v>
      </c>
      <c r="BC130" s="174" t="s">
        <v>1490</v>
      </c>
      <c r="BD130" s="174" t="s">
        <v>1490</v>
      </c>
      <c r="BE130" s="174" t="s">
        <v>1463</v>
      </c>
      <c r="BF130" s="174" t="s">
        <v>1492</v>
      </c>
      <c r="BG130" s="174" t="s">
        <v>1489</v>
      </c>
      <c r="BH130" s="174" t="s">
        <v>1493</v>
      </c>
      <c r="BI130" s="174" t="s">
        <v>1492</v>
      </c>
      <c r="BJ130" s="174" t="s">
        <v>1490</v>
      </c>
      <c r="BK130" s="174" t="s">
        <v>1489</v>
      </c>
      <c r="BL130" s="174" t="s">
        <v>1490</v>
      </c>
      <c r="BM130" s="174" t="s">
        <v>1490</v>
      </c>
      <c r="BN130" s="174" t="s">
        <v>1489</v>
      </c>
      <c r="BO130" s="174" t="s">
        <v>1489</v>
      </c>
      <c r="BP130" s="174" t="s">
        <v>1492</v>
      </c>
      <c r="BQ130" s="174" t="s">
        <v>1490</v>
      </c>
      <c r="BR130" s="174" t="s">
        <v>1492</v>
      </c>
      <c r="BS130" s="174" t="s">
        <v>1490</v>
      </c>
      <c r="BT130" s="174" t="s">
        <v>1463</v>
      </c>
      <c r="BU130" s="174" t="s">
        <v>1490</v>
      </c>
      <c r="BV130" s="174" t="s">
        <v>1489</v>
      </c>
      <c r="BW130" s="174" t="s">
        <v>1490</v>
      </c>
      <c r="BX130" s="174" t="s">
        <v>1489</v>
      </c>
      <c r="BY130" s="174" t="s">
        <v>1489</v>
      </c>
      <c r="BZ130" s="174" t="s">
        <v>1492</v>
      </c>
      <c r="CA130" s="174" t="s">
        <v>1494</v>
      </c>
      <c r="CB130" s="174" t="s">
        <v>1489</v>
      </c>
      <c r="CC130" s="174" t="s">
        <v>1490</v>
      </c>
      <c r="CD130" s="174" t="s">
        <v>1489</v>
      </c>
      <c r="CE130" s="174" t="s">
        <v>1490</v>
      </c>
      <c r="CF130" s="174" t="s">
        <v>1489</v>
      </c>
      <c r="CG130" s="174" t="s">
        <v>1492</v>
      </c>
      <c r="CH130" s="174" t="s">
        <v>1463</v>
      </c>
      <c r="CI130" s="174" t="s">
        <v>1493</v>
      </c>
      <c r="CJ130" s="174" t="s">
        <v>1490</v>
      </c>
      <c r="CK130" s="174" t="s">
        <v>1492</v>
      </c>
      <c r="CL130" s="174" t="s">
        <v>1490</v>
      </c>
      <c r="CM130" s="174" t="s">
        <v>1463</v>
      </c>
      <c r="CN130" s="174" t="s">
        <v>1463</v>
      </c>
      <c r="CO130" s="174" t="s">
        <v>1495</v>
      </c>
      <c r="CP130" s="174" t="s">
        <v>1492</v>
      </c>
      <c r="CQ130" s="174" t="s">
        <v>1463</v>
      </c>
      <c r="CS130" s="174" t="s">
        <v>1460</v>
      </c>
      <c r="CT130" s="174" t="s">
        <v>1460</v>
      </c>
      <c r="CU130" s="174" t="s">
        <v>1460</v>
      </c>
      <c r="CV130" s="174" t="s">
        <v>1460</v>
      </c>
      <c r="CX130" s="174" t="s">
        <v>603</v>
      </c>
      <c r="CY130" s="174" t="s">
        <v>1496</v>
      </c>
      <c r="CZ130" s="174" t="s">
        <v>1496</v>
      </c>
      <c r="DA130" s="174" t="s">
        <v>1460</v>
      </c>
      <c r="DB130" s="174" t="s">
        <v>1497</v>
      </c>
      <c r="DC130" s="174" t="s">
        <v>1497</v>
      </c>
      <c r="DD130" s="174" t="s">
        <v>1497</v>
      </c>
      <c r="DF130" s="174">
        <v>2</v>
      </c>
      <c r="EE130" s="203">
        <v>1.9589999999999994</v>
      </c>
      <c r="EF130" s="174">
        <v>5</v>
      </c>
      <c r="EO130" s="174" t="s">
        <v>4218</v>
      </c>
      <c r="EP130" s="174" t="s">
        <v>4207</v>
      </c>
      <c r="EQ130" s="174" t="s">
        <v>4207</v>
      </c>
      <c r="ER130" s="174" t="s">
        <v>4208</v>
      </c>
      <c r="ES130" s="174" t="s">
        <v>4208</v>
      </c>
      <c r="ET130" s="174" t="s">
        <v>4208</v>
      </c>
      <c r="EU130" s="174" t="s">
        <v>4209</v>
      </c>
      <c r="EV130" s="174" t="s">
        <v>4209</v>
      </c>
      <c r="EW130" s="174" t="s">
        <v>4209</v>
      </c>
      <c r="EX130" s="174" t="s">
        <v>4209</v>
      </c>
      <c r="EY130" s="174" t="s">
        <v>4209</v>
      </c>
      <c r="EZ130" s="174" t="s">
        <v>4209</v>
      </c>
      <c r="FA130" s="174" t="s">
        <v>4240</v>
      </c>
      <c r="FB130" s="174" t="s">
        <v>4240</v>
      </c>
      <c r="FC130" s="174" t="s">
        <v>4240</v>
      </c>
      <c r="FD130" s="174" t="s">
        <v>905</v>
      </c>
      <c r="FE130" s="174" t="s">
        <v>905</v>
      </c>
      <c r="FF130" s="174" t="s">
        <v>905</v>
      </c>
      <c r="FG130" s="174" t="s">
        <v>4207</v>
      </c>
      <c r="FH130" s="174" t="s">
        <v>4207</v>
      </c>
      <c r="FI130" s="174" t="s">
        <v>4207</v>
      </c>
      <c r="FJ130" s="174" t="s">
        <v>4207</v>
      </c>
      <c r="FK130" s="174" t="s">
        <v>4207</v>
      </c>
      <c r="FL130" s="174" t="s">
        <v>4207</v>
      </c>
      <c r="FM130" s="174" t="s">
        <v>4207</v>
      </c>
      <c r="FN130" s="174" t="s">
        <v>4207</v>
      </c>
      <c r="FO130" s="174" t="s">
        <v>4207</v>
      </c>
      <c r="FP130" s="174" t="s">
        <v>4207</v>
      </c>
      <c r="FQ130" s="174" t="s">
        <v>4207</v>
      </c>
      <c r="FR130" s="174" t="s">
        <v>4207</v>
      </c>
      <c r="FS130" s="174" t="s">
        <v>4207</v>
      </c>
      <c r="FT130" s="174" t="s">
        <v>4207</v>
      </c>
      <c r="FU130" s="174" t="s">
        <v>4207</v>
      </c>
      <c r="FV130" s="174" t="s">
        <v>4207</v>
      </c>
      <c r="FW130" s="174" t="s">
        <v>4207</v>
      </c>
      <c r="FX130" s="174" t="s">
        <v>4207</v>
      </c>
      <c r="FY130" s="174" t="s">
        <v>4207</v>
      </c>
      <c r="FZ130" s="174" t="s">
        <v>4301</v>
      </c>
      <c r="HA130" s="174">
        <v>3</v>
      </c>
      <c r="HB130" s="197">
        <v>127</v>
      </c>
      <c r="HC130" s="194">
        <v>83</v>
      </c>
      <c r="HD130" s="238">
        <v>108.5</v>
      </c>
      <c r="HE130" s="236">
        <v>25</v>
      </c>
      <c r="HF130" s="183">
        <v>192</v>
      </c>
      <c r="HG130" s="193">
        <f t="shared" si="116"/>
        <v>187</v>
      </c>
      <c r="HH130" s="192" t="e">
        <f t="shared" si="146"/>
        <v>#REF!</v>
      </c>
      <c r="HI130" s="198">
        <v>25</v>
      </c>
      <c r="HJ130" s="185">
        <v>153.5</v>
      </c>
      <c r="HK130" s="174">
        <v>128</v>
      </c>
      <c r="HL130" s="174">
        <f t="shared" si="121"/>
        <v>582</v>
      </c>
      <c r="HM130" s="174">
        <f t="shared" si="122"/>
        <v>572</v>
      </c>
      <c r="HN130" s="174">
        <f t="shared" si="123"/>
        <v>454</v>
      </c>
      <c r="HO130" s="174">
        <f t="shared" si="124"/>
        <v>346</v>
      </c>
      <c r="HP130" s="174">
        <f t="shared" si="125"/>
        <v>248</v>
      </c>
      <c r="HQ130" s="174">
        <f t="shared" si="126"/>
        <v>238</v>
      </c>
      <c r="HR130" s="174">
        <f t="shared" si="127"/>
        <v>238</v>
      </c>
      <c r="HS130" s="174">
        <f t="shared" si="128"/>
        <v>228</v>
      </c>
      <c r="HT130" s="174">
        <f t="shared" si="129"/>
        <v>218</v>
      </c>
      <c r="HU130" s="174">
        <f t="shared" si="130"/>
        <v>444</v>
      </c>
      <c r="HV130" s="174">
        <f t="shared" si="131"/>
        <v>238</v>
      </c>
      <c r="HW130" s="174">
        <f t="shared" si="132"/>
        <v>228</v>
      </c>
      <c r="HX130" s="174">
        <f t="shared" si="133"/>
        <v>326</v>
      </c>
      <c r="HY130" s="174">
        <f t="shared" si="134"/>
        <v>218</v>
      </c>
      <c r="HZ130" s="174">
        <f t="shared" si="135"/>
        <v>208</v>
      </c>
      <c r="IA130" s="174">
        <f t="shared" si="136"/>
        <v>198</v>
      </c>
      <c r="IB130" s="174">
        <f t="shared" si="137"/>
        <v>316</v>
      </c>
      <c r="IC130" s="174">
        <f t="shared" si="138"/>
        <v>296</v>
      </c>
      <c r="ID130" s="174">
        <f t="shared" si="139"/>
        <v>188</v>
      </c>
      <c r="IE130" s="174">
        <f t="shared" si="140"/>
        <v>286</v>
      </c>
      <c r="IF130" s="174">
        <f t="shared" si="141"/>
        <v>188</v>
      </c>
      <c r="IG130" s="174">
        <f t="shared" si="142"/>
        <v>168</v>
      </c>
      <c r="IH130" s="174">
        <f t="shared" si="143"/>
        <v>158</v>
      </c>
      <c r="II130" s="174">
        <f t="shared" si="144"/>
        <v>138</v>
      </c>
      <c r="IJ130" s="174">
        <v>130</v>
      </c>
    </row>
    <row r="131" spans="1:244" ht="13.35" customHeight="1" x14ac:dyDescent="0.2">
      <c r="A131" s="183">
        <f t="shared" ref="A131:A151" si="151">A130+1</f>
        <v>130</v>
      </c>
      <c r="B131" s="184">
        <f t="shared" si="147"/>
        <v>70</v>
      </c>
      <c r="C131" s="183">
        <f t="shared" si="149"/>
        <v>1690</v>
      </c>
      <c r="F131" s="174" t="s">
        <v>1460</v>
      </c>
      <c r="G131" s="174" t="s">
        <v>1460</v>
      </c>
      <c r="H131" s="174" t="s">
        <v>1460</v>
      </c>
      <c r="I131" s="174" t="s">
        <v>1460</v>
      </c>
      <c r="J131" s="174" t="s">
        <v>1460</v>
      </c>
      <c r="K131" s="174" t="s">
        <v>1498</v>
      </c>
      <c r="L131" s="174" t="s">
        <v>1499</v>
      </c>
      <c r="M131" s="174" t="s">
        <v>1490</v>
      </c>
      <c r="N131" s="174" t="s">
        <v>1500</v>
      </c>
      <c r="O131" s="174" t="s">
        <v>1501</v>
      </c>
      <c r="P131" s="174" t="s">
        <v>1502</v>
      </c>
      <c r="Q131" s="174" t="s">
        <v>1503</v>
      </c>
      <c r="R131" s="174" t="s">
        <v>1504</v>
      </c>
      <c r="S131" s="174" t="s">
        <v>1505</v>
      </c>
      <c r="T131" s="174" t="s">
        <v>1506</v>
      </c>
      <c r="U131" s="174" t="s">
        <v>1507</v>
      </c>
      <c r="V131" s="174" t="s">
        <v>1508</v>
      </c>
      <c r="W131" s="174" t="s">
        <v>1509</v>
      </c>
      <c r="X131" s="174" t="s">
        <v>1510</v>
      </c>
      <c r="Y131" s="174" t="s">
        <v>1511</v>
      </c>
      <c r="AA131" s="174" t="s">
        <v>1512</v>
      </c>
      <c r="AB131" s="174" t="s">
        <v>1513</v>
      </c>
      <c r="AC131" s="174" t="s">
        <v>1514</v>
      </c>
      <c r="AD131" s="174" t="s">
        <v>1515</v>
      </c>
      <c r="AF131" s="174" t="s">
        <v>1516</v>
      </c>
      <c r="AG131" s="174" t="s">
        <v>1517</v>
      </c>
      <c r="AH131" s="174" t="s">
        <v>1518</v>
      </c>
      <c r="AJ131" s="174" t="s">
        <v>1519</v>
      </c>
      <c r="AK131" s="174" t="s">
        <v>1520</v>
      </c>
      <c r="AL131" s="174" t="s">
        <v>1521</v>
      </c>
      <c r="AM131" s="174" t="s">
        <v>1522</v>
      </c>
      <c r="AO131" s="174" t="s">
        <v>1523</v>
      </c>
      <c r="AP131" s="174" t="s">
        <v>1524</v>
      </c>
      <c r="AQ131" s="174" t="s">
        <v>1525</v>
      </c>
      <c r="AS131" s="174" t="s">
        <v>1490</v>
      </c>
      <c r="AT131" s="174" t="s">
        <v>1490</v>
      </c>
      <c r="AU131" s="174" t="s">
        <v>1490</v>
      </c>
      <c r="AV131" s="174" t="s">
        <v>1492</v>
      </c>
      <c r="AW131" s="174" t="s">
        <v>1526</v>
      </c>
      <c r="AX131" s="174" t="s">
        <v>1463</v>
      </c>
      <c r="AY131" s="174" t="s">
        <v>1463</v>
      </c>
      <c r="AZ131" s="174" t="s">
        <v>1490</v>
      </c>
      <c r="BA131" s="174" t="s">
        <v>1463</v>
      </c>
      <c r="BB131" s="174" t="s">
        <v>1493</v>
      </c>
      <c r="BC131" s="174" t="s">
        <v>1493</v>
      </c>
      <c r="BD131" s="174" t="s">
        <v>1493</v>
      </c>
      <c r="BE131" s="174" t="s">
        <v>1493</v>
      </c>
      <c r="BF131" s="174" t="s">
        <v>1527</v>
      </c>
      <c r="BG131" s="174" t="s">
        <v>1463</v>
      </c>
      <c r="BH131" s="174" t="s">
        <v>1492</v>
      </c>
      <c r="BI131" s="174" t="s">
        <v>1493</v>
      </c>
      <c r="BJ131" s="174" t="s">
        <v>1528</v>
      </c>
      <c r="BK131" s="174" t="s">
        <v>1527</v>
      </c>
      <c r="BL131" s="174" t="s">
        <v>1529</v>
      </c>
      <c r="BM131" s="174" t="s">
        <v>1530</v>
      </c>
      <c r="BN131" s="174" t="s">
        <v>1490</v>
      </c>
      <c r="BO131" s="174" t="s">
        <v>1490</v>
      </c>
      <c r="BP131" s="174" t="s">
        <v>1528</v>
      </c>
      <c r="BQ131" s="174" t="s">
        <v>1527</v>
      </c>
      <c r="BR131" s="174" t="s">
        <v>1529</v>
      </c>
      <c r="BS131" s="174" t="s">
        <v>1528</v>
      </c>
      <c r="BT131" s="174" t="s">
        <v>1490</v>
      </c>
      <c r="BU131" s="174" t="s">
        <v>1493</v>
      </c>
      <c r="BV131" s="174" t="s">
        <v>1463</v>
      </c>
      <c r="BW131" s="174" t="s">
        <v>1528</v>
      </c>
      <c r="BX131" s="174" t="s">
        <v>1490</v>
      </c>
      <c r="BY131" s="174" t="s">
        <v>1531</v>
      </c>
      <c r="BZ131" s="174" t="s">
        <v>1528</v>
      </c>
      <c r="CA131" s="174" t="s">
        <v>1463</v>
      </c>
      <c r="CB131" s="174" t="s">
        <v>1490</v>
      </c>
      <c r="CC131" s="174" t="s">
        <v>1493</v>
      </c>
      <c r="CD131" s="174" t="s">
        <v>1493</v>
      </c>
      <c r="CE131" s="174" t="s">
        <v>1531</v>
      </c>
      <c r="CF131" s="174" t="s">
        <v>1530</v>
      </c>
      <c r="CG131" s="174" t="s">
        <v>1528</v>
      </c>
      <c r="CH131" s="174" t="s">
        <v>1492</v>
      </c>
      <c r="CI131" s="174" t="s">
        <v>1528</v>
      </c>
      <c r="CJ131" s="174" t="s">
        <v>1528</v>
      </c>
      <c r="CK131" s="174" t="s">
        <v>1527</v>
      </c>
      <c r="CL131" s="174" t="s">
        <v>1532</v>
      </c>
      <c r="CM131" s="174" t="s">
        <v>1490</v>
      </c>
      <c r="CN131" s="174" t="s">
        <v>1490</v>
      </c>
      <c r="CO131" s="174" t="s">
        <v>1493</v>
      </c>
      <c r="CP131" s="174" t="s">
        <v>1527</v>
      </c>
      <c r="CQ131" s="174" t="s">
        <v>1490</v>
      </c>
      <c r="CS131" s="174" t="s">
        <v>1460</v>
      </c>
      <c r="CT131" s="174" t="s">
        <v>1460</v>
      </c>
      <c r="CU131" s="174" t="s">
        <v>1460</v>
      </c>
      <c r="CV131" s="174" t="s">
        <v>1460</v>
      </c>
      <c r="CX131" s="174" t="s">
        <v>1500</v>
      </c>
      <c r="CY131" s="174" t="s">
        <v>1533</v>
      </c>
      <c r="CZ131" s="174" t="s">
        <v>1533</v>
      </c>
      <c r="DA131" s="174" t="s">
        <v>1460</v>
      </c>
      <c r="DB131" s="174" t="s">
        <v>1534</v>
      </c>
      <c r="DC131" s="174" t="s">
        <v>1535</v>
      </c>
      <c r="DD131" s="174" t="s">
        <v>1536</v>
      </c>
      <c r="DF131" s="174">
        <v>3</v>
      </c>
      <c r="EE131" s="203">
        <v>1.9843999999999995</v>
      </c>
      <c r="EF131" s="174">
        <v>5</v>
      </c>
      <c r="EO131" s="174" t="s">
        <v>4207</v>
      </c>
      <c r="EP131" s="174" t="s">
        <v>4209</v>
      </c>
      <c r="EQ131" s="174" t="s">
        <v>4209</v>
      </c>
      <c r="ER131" s="174" t="s">
        <v>4207</v>
      </c>
      <c r="ES131" s="174" t="s">
        <v>4207</v>
      </c>
      <c r="ET131" s="174" t="s">
        <v>4207</v>
      </c>
      <c r="EU131" s="174" t="s">
        <v>4207</v>
      </c>
      <c r="EV131" s="174" t="s">
        <v>4207</v>
      </c>
      <c r="EW131" s="174" t="s">
        <v>4207</v>
      </c>
      <c r="EX131" s="174" t="s">
        <v>4207</v>
      </c>
      <c r="EY131" s="174" t="s">
        <v>4207</v>
      </c>
      <c r="EZ131" s="174" t="s">
        <v>4207</v>
      </c>
      <c r="FA131" s="174" t="s">
        <v>4207</v>
      </c>
      <c r="FB131" s="174" t="s">
        <v>4207</v>
      </c>
      <c r="FC131" s="174" t="s">
        <v>4207</v>
      </c>
      <c r="FD131" s="174" t="s">
        <v>4207</v>
      </c>
      <c r="FE131" s="174" t="s">
        <v>4207</v>
      </c>
      <c r="FF131" s="174" t="s">
        <v>4207</v>
      </c>
      <c r="FG131" s="174" t="s">
        <v>4213</v>
      </c>
      <c r="FH131" s="174" t="s">
        <v>4214</v>
      </c>
      <c r="FI131" s="174" t="s">
        <v>4215</v>
      </c>
      <c r="FJ131" s="174" t="s">
        <v>4188</v>
      </c>
      <c r="FK131" s="174" t="s">
        <v>4195</v>
      </c>
      <c r="FL131" s="174" t="s">
        <v>4216</v>
      </c>
      <c r="FM131" s="174" t="s">
        <v>4217</v>
      </c>
      <c r="FN131" s="174" t="s">
        <v>4200</v>
      </c>
      <c r="FO131" s="174" t="s">
        <v>4189</v>
      </c>
      <c r="FP131" s="174" t="s">
        <v>4219</v>
      </c>
      <c r="FQ131" s="174" t="s">
        <v>4220</v>
      </c>
      <c r="FR131" s="174" t="s">
        <v>4195</v>
      </c>
      <c r="FS131" s="174" t="s">
        <v>4191</v>
      </c>
      <c r="FT131" s="174" t="s">
        <v>4202</v>
      </c>
      <c r="FU131" s="174" t="s">
        <v>4188</v>
      </c>
      <c r="FV131" s="174" t="s">
        <v>4203</v>
      </c>
      <c r="FW131" s="174" t="s">
        <v>4225</v>
      </c>
      <c r="FX131" s="174" t="s">
        <v>4210</v>
      </c>
      <c r="FZ131" s="174" t="s">
        <v>4210</v>
      </c>
      <c r="HA131" s="174">
        <v>4</v>
      </c>
      <c r="HB131" s="197">
        <v>128</v>
      </c>
      <c r="HC131" s="194">
        <v>83</v>
      </c>
      <c r="HD131" s="238">
        <v>109</v>
      </c>
      <c r="HE131" s="236">
        <v>25</v>
      </c>
      <c r="HF131" s="183">
        <v>193</v>
      </c>
      <c r="HG131" s="193">
        <f t="shared" ref="HG131:HG194" si="152">HLOOKUP($B$154,$HK$1:$IJ$202,$IJ130,0)</f>
        <v>188</v>
      </c>
      <c r="HH131" s="192" t="e">
        <f t="shared" si="146"/>
        <v>#REF!</v>
      </c>
      <c r="HI131" s="198">
        <v>25</v>
      </c>
      <c r="HJ131" s="185">
        <v>154</v>
      </c>
      <c r="HK131" s="174">
        <v>129</v>
      </c>
      <c r="HL131" s="174">
        <f t="shared" si="121"/>
        <v>586</v>
      </c>
      <c r="HM131" s="174">
        <f t="shared" si="122"/>
        <v>576</v>
      </c>
      <c r="HN131" s="174">
        <f t="shared" si="123"/>
        <v>457</v>
      </c>
      <c r="HO131" s="174">
        <f t="shared" si="124"/>
        <v>348</v>
      </c>
      <c r="HP131" s="174">
        <f t="shared" si="125"/>
        <v>249</v>
      </c>
      <c r="HQ131" s="174">
        <f t="shared" si="126"/>
        <v>239</v>
      </c>
      <c r="HR131" s="174">
        <f t="shared" si="127"/>
        <v>239</v>
      </c>
      <c r="HS131" s="174">
        <f t="shared" si="128"/>
        <v>229</v>
      </c>
      <c r="HT131" s="174">
        <f t="shared" si="129"/>
        <v>219</v>
      </c>
      <c r="HU131" s="174">
        <f t="shared" si="130"/>
        <v>447</v>
      </c>
      <c r="HV131" s="174">
        <f t="shared" si="131"/>
        <v>239</v>
      </c>
      <c r="HW131" s="174">
        <f t="shared" si="132"/>
        <v>229</v>
      </c>
      <c r="HX131" s="174">
        <f t="shared" si="133"/>
        <v>328</v>
      </c>
      <c r="HY131" s="174">
        <f t="shared" si="134"/>
        <v>219</v>
      </c>
      <c r="HZ131" s="174">
        <f t="shared" si="135"/>
        <v>209</v>
      </c>
      <c r="IA131" s="174">
        <f t="shared" si="136"/>
        <v>199</v>
      </c>
      <c r="IB131" s="174">
        <f t="shared" si="137"/>
        <v>318</v>
      </c>
      <c r="IC131" s="174">
        <f t="shared" si="138"/>
        <v>298</v>
      </c>
      <c r="ID131" s="174">
        <f t="shared" si="139"/>
        <v>189</v>
      </c>
      <c r="IE131" s="174">
        <f t="shared" si="140"/>
        <v>288</v>
      </c>
      <c r="IF131" s="174">
        <f t="shared" si="141"/>
        <v>189</v>
      </c>
      <c r="IG131" s="174">
        <f t="shared" si="142"/>
        <v>169</v>
      </c>
      <c r="IH131" s="174">
        <f t="shared" si="143"/>
        <v>159</v>
      </c>
      <c r="II131" s="174">
        <f t="shared" si="144"/>
        <v>139</v>
      </c>
      <c r="IJ131" s="174">
        <v>131</v>
      </c>
    </row>
    <row r="132" spans="1:244" ht="13.35" customHeight="1" x14ac:dyDescent="0.2">
      <c r="A132" s="183">
        <f t="shared" si="151"/>
        <v>131</v>
      </c>
      <c r="B132" s="184">
        <f t="shared" si="147"/>
        <v>72</v>
      </c>
      <c r="C132" s="183">
        <f t="shared" si="149"/>
        <v>1771</v>
      </c>
      <c r="F132" s="174" t="s">
        <v>1460</v>
      </c>
      <c r="G132" s="174" t="s">
        <v>1460</v>
      </c>
      <c r="H132" s="174" t="s">
        <v>1460</v>
      </c>
      <c r="I132" s="174" t="s">
        <v>1460</v>
      </c>
      <c r="J132" s="174" t="s">
        <v>1460</v>
      </c>
      <c r="K132" s="174" t="s">
        <v>1542</v>
      </c>
      <c r="L132" s="174" t="s">
        <v>1543</v>
      </c>
      <c r="M132" s="174" t="s">
        <v>1529</v>
      </c>
      <c r="N132" s="174" t="s">
        <v>1544</v>
      </c>
      <c r="O132" s="174" t="s">
        <v>1545</v>
      </c>
      <c r="P132" s="174" t="s">
        <v>1546</v>
      </c>
      <c r="Q132" s="174" t="s">
        <v>1547</v>
      </c>
      <c r="R132" s="174" t="s">
        <v>675</v>
      </c>
      <c r="S132" s="174" t="s">
        <v>1548</v>
      </c>
      <c r="T132" s="174" t="s">
        <v>1549</v>
      </c>
      <c r="U132" s="174" t="s">
        <v>1550</v>
      </c>
      <c r="V132" s="174" t="s">
        <v>1551</v>
      </c>
      <c r="W132" s="174" t="s">
        <v>1552</v>
      </c>
      <c r="X132" s="174" t="s">
        <v>1553</v>
      </c>
      <c r="Y132" s="174" t="s">
        <v>1554</v>
      </c>
      <c r="AA132" s="174" t="s">
        <v>1555</v>
      </c>
      <c r="AB132" s="174" t="s">
        <v>1556</v>
      </c>
      <c r="AC132" s="174" t="s">
        <v>1557</v>
      </c>
      <c r="AD132" s="174" t="s">
        <v>1558</v>
      </c>
      <c r="AF132" s="174" t="s">
        <v>1559</v>
      </c>
      <c r="AG132" s="174" t="s">
        <v>1560</v>
      </c>
      <c r="AH132" s="174" t="s">
        <v>1561</v>
      </c>
      <c r="AJ132" s="174" t="s">
        <v>1562</v>
      </c>
      <c r="AK132" s="174" t="s">
        <v>1563</v>
      </c>
      <c r="AL132" s="174" t="s">
        <v>1564</v>
      </c>
      <c r="AM132" s="174" t="s">
        <v>1565</v>
      </c>
      <c r="AO132" s="174" t="s">
        <v>1566</v>
      </c>
      <c r="AP132" s="174" t="s">
        <v>1567</v>
      </c>
      <c r="AQ132" s="174" t="s">
        <v>1568</v>
      </c>
      <c r="AS132" s="174" t="s">
        <v>1569</v>
      </c>
      <c r="AT132" s="174" t="s">
        <v>1493</v>
      </c>
      <c r="AU132" s="174" t="s">
        <v>1492</v>
      </c>
      <c r="AV132" s="174" t="s">
        <v>1528</v>
      </c>
      <c r="AW132" s="174" t="s">
        <v>1529</v>
      </c>
      <c r="AX132" s="174" t="s">
        <v>1491</v>
      </c>
      <c r="AY132" s="174" t="s">
        <v>1490</v>
      </c>
      <c r="AZ132" s="174" t="s">
        <v>1528</v>
      </c>
      <c r="BA132" s="174" t="s">
        <v>1490</v>
      </c>
      <c r="BB132" s="174" t="s">
        <v>1491</v>
      </c>
      <c r="BC132" s="174" t="s">
        <v>1491</v>
      </c>
      <c r="BD132" s="174" t="s">
        <v>1491</v>
      </c>
      <c r="BE132" s="174" t="s">
        <v>1570</v>
      </c>
      <c r="BF132" s="174" t="s">
        <v>1528</v>
      </c>
      <c r="BG132" s="174" t="s">
        <v>1490</v>
      </c>
      <c r="BH132" s="174" t="s">
        <v>1529</v>
      </c>
      <c r="BI132" s="174" t="s">
        <v>1528</v>
      </c>
      <c r="BJ132" s="174" t="s">
        <v>1491</v>
      </c>
      <c r="BK132" s="174" t="s">
        <v>1571</v>
      </c>
      <c r="BL132" s="174" t="s">
        <v>1491</v>
      </c>
      <c r="BM132" s="174" t="s">
        <v>1572</v>
      </c>
      <c r="BN132" s="174" t="s">
        <v>1573</v>
      </c>
      <c r="BO132" s="174" t="s">
        <v>1493</v>
      </c>
      <c r="BP132" s="174" t="s">
        <v>1571</v>
      </c>
      <c r="BQ132" s="174" t="s">
        <v>1528</v>
      </c>
      <c r="BR132" s="174" t="s">
        <v>1491</v>
      </c>
      <c r="BS132" s="174" t="s">
        <v>1491</v>
      </c>
      <c r="BT132" s="174" t="s">
        <v>1573</v>
      </c>
      <c r="BU132" s="174" t="s">
        <v>1573</v>
      </c>
      <c r="BV132" s="174" t="s">
        <v>1492</v>
      </c>
      <c r="BW132" s="174" t="s">
        <v>1573</v>
      </c>
      <c r="BX132" s="174" t="s">
        <v>1493</v>
      </c>
      <c r="BY132" s="174" t="s">
        <v>1492</v>
      </c>
      <c r="BZ132" s="174" t="s">
        <v>1574</v>
      </c>
      <c r="CA132" s="174" t="s">
        <v>1490</v>
      </c>
      <c r="CB132" s="174" t="s">
        <v>1493</v>
      </c>
      <c r="CC132" s="174" t="s">
        <v>1573</v>
      </c>
      <c r="CD132" s="174" t="s">
        <v>1573</v>
      </c>
      <c r="CE132" s="174" t="s">
        <v>1575</v>
      </c>
      <c r="CF132" s="174" t="s">
        <v>1575</v>
      </c>
      <c r="CG132" s="174" t="s">
        <v>1574</v>
      </c>
      <c r="CH132" s="174" t="s">
        <v>1528</v>
      </c>
      <c r="CI132" s="174" t="s">
        <v>1575</v>
      </c>
      <c r="CJ132" s="174" t="s">
        <v>1532</v>
      </c>
      <c r="CK132" s="174" t="s">
        <v>1571</v>
      </c>
      <c r="CL132" s="174" t="s">
        <v>1529</v>
      </c>
      <c r="CM132" s="174" t="s">
        <v>1530</v>
      </c>
      <c r="CN132" s="174" t="s">
        <v>1527</v>
      </c>
      <c r="CO132" s="174" t="s">
        <v>1527</v>
      </c>
      <c r="CP132" s="174" t="s">
        <v>1528</v>
      </c>
      <c r="CQ132" s="174" t="s">
        <v>1492</v>
      </c>
      <c r="CS132" s="174" t="s">
        <v>1460</v>
      </c>
      <c r="CT132" s="174" t="s">
        <v>1460</v>
      </c>
      <c r="CU132" s="174" t="s">
        <v>1460</v>
      </c>
      <c r="CV132" s="174" t="s">
        <v>1460</v>
      </c>
      <c r="CX132" s="174" t="s">
        <v>1544</v>
      </c>
      <c r="CY132" s="174" t="s">
        <v>1576</v>
      </c>
      <c r="CZ132" s="174" t="s">
        <v>1577</v>
      </c>
      <c r="DA132" s="174" t="s">
        <v>1460</v>
      </c>
      <c r="DB132" s="174" t="s">
        <v>1578</v>
      </c>
      <c r="DC132" s="174" t="s">
        <v>1579</v>
      </c>
      <c r="DD132" s="174" t="s">
        <v>1580</v>
      </c>
      <c r="DF132" s="174">
        <v>4</v>
      </c>
      <c r="EE132" s="203">
        <v>2.0097999999999994</v>
      </c>
      <c r="EF132" s="174">
        <v>5</v>
      </c>
      <c r="EO132" s="174" t="s">
        <v>4207</v>
      </c>
      <c r="EP132" s="174" t="s">
        <v>4209</v>
      </c>
      <c r="EQ132" s="174" t="s">
        <v>4209</v>
      </c>
      <c r="ER132" s="174" t="s">
        <v>4207</v>
      </c>
      <c r="ES132" s="174" t="s">
        <v>4207</v>
      </c>
      <c r="ET132" s="174" t="s">
        <v>4207</v>
      </c>
      <c r="EU132" s="174" t="s">
        <v>4207</v>
      </c>
      <c r="EV132" s="174" t="s">
        <v>4207</v>
      </c>
      <c r="EW132" s="174" t="s">
        <v>4207</v>
      </c>
      <c r="EX132" s="174" t="s">
        <v>4207</v>
      </c>
      <c r="EY132" s="174" t="s">
        <v>4207</v>
      </c>
      <c r="EZ132" s="174" t="s">
        <v>4207</v>
      </c>
      <c r="FA132" s="174" t="s">
        <v>4207</v>
      </c>
      <c r="FB132" s="174" t="s">
        <v>4207</v>
      </c>
      <c r="FC132" s="174" t="s">
        <v>4207</v>
      </c>
      <c r="FD132" s="174" t="s">
        <v>4207</v>
      </c>
      <c r="FE132" s="174" t="s">
        <v>4207</v>
      </c>
      <c r="FF132" s="174" t="s">
        <v>4207</v>
      </c>
      <c r="FG132" s="174" t="s">
        <v>4221</v>
      </c>
      <c r="FH132" s="174" t="s">
        <v>4214</v>
      </c>
      <c r="FI132" s="174" t="s">
        <v>4215</v>
      </c>
      <c r="FJ132" s="174" t="s">
        <v>4188</v>
      </c>
      <c r="FK132" s="174" t="s">
        <v>4222</v>
      </c>
      <c r="FL132" s="174" t="s">
        <v>4216</v>
      </c>
      <c r="FM132" s="174" t="s">
        <v>4217</v>
      </c>
      <c r="FN132" s="174" t="s">
        <v>4223</v>
      </c>
      <c r="FO132" s="174" t="s">
        <v>4189</v>
      </c>
      <c r="FP132" s="174" t="s">
        <v>4219</v>
      </c>
      <c r="FQ132" s="174" t="s">
        <v>4220</v>
      </c>
      <c r="FR132" s="174" t="s">
        <v>4195</v>
      </c>
      <c r="FS132" s="174" t="s">
        <v>4191</v>
      </c>
      <c r="FT132" s="174" t="s">
        <v>4224</v>
      </c>
      <c r="FU132" s="174" t="s">
        <v>4188</v>
      </c>
      <c r="FV132" s="174" t="s">
        <v>4203</v>
      </c>
      <c r="FW132" s="174" t="s">
        <v>4225</v>
      </c>
      <c r="FX132" s="174" t="s">
        <v>4210</v>
      </c>
      <c r="FZ132" s="174" t="s">
        <v>4210</v>
      </c>
      <c r="HA132" s="174">
        <v>5</v>
      </c>
      <c r="HB132" s="197">
        <v>129</v>
      </c>
      <c r="HC132" s="194">
        <v>84</v>
      </c>
      <c r="HD132" s="238">
        <v>109.5</v>
      </c>
      <c r="HE132" s="236">
        <v>25</v>
      </c>
      <c r="HF132" s="183">
        <v>194</v>
      </c>
      <c r="HG132" s="193">
        <f t="shared" si="152"/>
        <v>189</v>
      </c>
      <c r="HH132" s="192" t="e">
        <f t="shared" ref="HH132:HH163" si="153">HLOOKUP($B$155,$HK$1:$IK$202,$IJ131,0)</f>
        <v>#REF!</v>
      </c>
      <c r="HI132" s="198">
        <v>25</v>
      </c>
      <c r="HJ132" s="185">
        <v>154.5</v>
      </c>
      <c r="HK132" s="182">
        <v>130</v>
      </c>
      <c r="HL132" s="174">
        <f t="shared" si="121"/>
        <v>590</v>
      </c>
      <c r="HM132" s="174">
        <f t="shared" si="122"/>
        <v>580</v>
      </c>
      <c r="HN132" s="174">
        <f t="shared" si="123"/>
        <v>460</v>
      </c>
      <c r="HO132" s="174">
        <f t="shared" si="124"/>
        <v>350</v>
      </c>
      <c r="HP132" s="174">
        <f t="shared" si="125"/>
        <v>250</v>
      </c>
      <c r="HQ132" s="174">
        <f t="shared" si="126"/>
        <v>240</v>
      </c>
      <c r="HR132" s="174">
        <f t="shared" si="127"/>
        <v>240</v>
      </c>
      <c r="HS132" s="174">
        <f t="shared" si="128"/>
        <v>230</v>
      </c>
      <c r="HT132" s="174">
        <f t="shared" si="129"/>
        <v>220</v>
      </c>
      <c r="HU132" s="174">
        <f t="shared" si="130"/>
        <v>450</v>
      </c>
      <c r="HV132" s="174">
        <f t="shared" si="131"/>
        <v>240</v>
      </c>
      <c r="HW132" s="174">
        <f t="shared" si="132"/>
        <v>230</v>
      </c>
      <c r="HX132" s="174">
        <f t="shared" si="133"/>
        <v>330</v>
      </c>
      <c r="HY132" s="174">
        <f t="shared" si="134"/>
        <v>220</v>
      </c>
      <c r="HZ132" s="174">
        <f t="shared" si="135"/>
        <v>210</v>
      </c>
      <c r="IA132" s="174">
        <f t="shared" si="136"/>
        <v>200</v>
      </c>
      <c r="IB132" s="174">
        <f t="shared" si="137"/>
        <v>320</v>
      </c>
      <c r="IC132" s="174">
        <f t="shared" si="138"/>
        <v>300</v>
      </c>
      <c r="ID132" s="174">
        <f t="shared" si="139"/>
        <v>190</v>
      </c>
      <c r="IE132" s="174">
        <f t="shared" si="140"/>
        <v>290</v>
      </c>
      <c r="IF132" s="174">
        <f t="shared" si="141"/>
        <v>190</v>
      </c>
      <c r="IG132" s="174">
        <f t="shared" si="142"/>
        <v>170</v>
      </c>
      <c r="IH132" s="174">
        <f t="shared" si="143"/>
        <v>160</v>
      </c>
      <c r="II132" s="174">
        <f t="shared" si="144"/>
        <v>140</v>
      </c>
      <c r="IJ132" s="182">
        <v>132</v>
      </c>
    </row>
    <row r="133" spans="1:244" ht="13.35" customHeight="1" x14ac:dyDescent="0.2">
      <c r="A133" s="183">
        <f t="shared" si="151"/>
        <v>132</v>
      </c>
      <c r="B133" s="184">
        <f t="shared" si="147"/>
        <v>74</v>
      </c>
      <c r="C133" s="183">
        <f t="shared" si="149"/>
        <v>1854</v>
      </c>
      <c r="F133" s="174" t="s">
        <v>1460</v>
      </c>
      <c r="G133" s="174" t="s">
        <v>1460</v>
      </c>
      <c r="H133" s="174" t="s">
        <v>1460</v>
      </c>
      <c r="I133" s="174" t="s">
        <v>1460</v>
      </c>
      <c r="J133" s="174" t="s">
        <v>1460</v>
      </c>
      <c r="K133" s="174" t="s">
        <v>1581</v>
      </c>
      <c r="L133" s="174" t="s">
        <v>1582</v>
      </c>
      <c r="M133" s="174" t="s">
        <v>1526</v>
      </c>
      <c r="N133" s="174" t="s">
        <v>1583</v>
      </c>
      <c r="O133" s="174" t="s">
        <v>1584</v>
      </c>
      <c r="P133" s="174" t="s">
        <v>1585</v>
      </c>
      <c r="Q133" s="174" t="s">
        <v>1586</v>
      </c>
      <c r="R133" s="174" t="s">
        <v>1587</v>
      </c>
      <c r="S133" s="174" t="s">
        <v>1588</v>
      </c>
      <c r="T133" s="174" t="s">
        <v>1589</v>
      </c>
      <c r="U133" s="174" t="s">
        <v>1590</v>
      </c>
      <c r="V133" s="174" t="s">
        <v>1591</v>
      </c>
      <c r="W133" s="174" t="s">
        <v>1592</v>
      </c>
      <c r="X133" s="174" t="s">
        <v>1593</v>
      </c>
      <c r="Y133" s="174" t="s">
        <v>1594</v>
      </c>
      <c r="AA133" s="174" t="s">
        <v>1595</v>
      </c>
      <c r="AB133" s="174" t="s">
        <v>1596</v>
      </c>
      <c r="AC133" s="174" t="s">
        <v>1597</v>
      </c>
      <c r="AD133" s="174" t="s">
        <v>1598</v>
      </c>
      <c r="AF133" s="174" t="s">
        <v>1599</v>
      </c>
      <c r="AG133" s="174" t="s">
        <v>1600</v>
      </c>
      <c r="AH133" s="174" t="s">
        <v>1601</v>
      </c>
      <c r="AJ133" s="174" t="s">
        <v>1602</v>
      </c>
      <c r="AK133" s="174" t="s">
        <v>1603</v>
      </c>
      <c r="AL133" s="174" t="s">
        <v>1604</v>
      </c>
      <c r="AM133" s="174" t="s">
        <v>1605</v>
      </c>
      <c r="AO133" s="174" t="s">
        <v>1606</v>
      </c>
      <c r="AP133" s="174" t="s">
        <v>1607</v>
      </c>
      <c r="AQ133" s="174" t="s">
        <v>1608</v>
      </c>
      <c r="AS133" s="174" t="s">
        <v>1526</v>
      </c>
      <c r="AT133" s="174" t="s">
        <v>1492</v>
      </c>
      <c r="AU133" s="174" t="s">
        <v>1491</v>
      </c>
      <c r="AV133" s="174" t="s">
        <v>1526</v>
      </c>
      <c r="AW133" s="174" t="s">
        <v>1609</v>
      </c>
      <c r="AX133" s="174" t="s">
        <v>1526</v>
      </c>
      <c r="AY133" s="174" t="s">
        <v>1492</v>
      </c>
      <c r="AZ133" s="174" t="s">
        <v>1575</v>
      </c>
      <c r="BA133" s="174" t="s">
        <v>1575</v>
      </c>
      <c r="BB133" s="174" t="s">
        <v>1526</v>
      </c>
      <c r="BC133" s="174" t="s">
        <v>1526</v>
      </c>
      <c r="BD133" s="174" t="s">
        <v>1526</v>
      </c>
      <c r="BE133" s="174" t="s">
        <v>1569</v>
      </c>
      <c r="BF133" s="174" t="s">
        <v>1569</v>
      </c>
      <c r="BG133" s="174" t="s">
        <v>1493</v>
      </c>
      <c r="BH133" s="174" t="s">
        <v>1491</v>
      </c>
      <c r="BI133" s="174" t="s">
        <v>1532</v>
      </c>
      <c r="BJ133" s="174" t="s">
        <v>1526</v>
      </c>
      <c r="BK133" s="174" t="s">
        <v>1573</v>
      </c>
      <c r="BL133" s="174" t="s">
        <v>1526</v>
      </c>
      <c r="BM133" s="174" t="s">
        <v>1526</v>
      </c>
      <c r="BN133" s="174" t="s">
        <v>1528</v>
      </c>
      <c r="BO133" s="174" t="s">
        <v>1491</v>
      </c>
      <c r="BP133" s="174" t="s">
        <v>1574</v>
      </c>
      <c r="BQ133" s="174" t="s">
        <v>1491</v>
      </c>
      <c r="BR133" s="174" t="s">
        <v>1526</v>
      </c>
      <c r="BS133" s="174" t="s">
        <v>1526</v>
      </c>
      <c r="BT133" s="174" t="s">
        <v>1491</v>
      </c>
      <c r="BU133" s="174" t="s">
        <v>1528</v>
      </c>
      <c r="BV133" s="174" t="s">
        <v>1527</v>
      </c>
      <c r="BW133" s="174" t="s">
        <v>1491</v>
      </c>
      <c r="BX133" s="174" t="s">
        <v>1528</v>
      </c>
      <c r="BY133" s="174" t="s">
        <v>1528</v>
      </c>
      <c r="BZ133" s="174" t="s">
        <v>1569</v>
      </c>
      <c r="CA133" s="174" t="s">
        <v>1528</v>
      </c>
      <c r="CB133" s="174" t="s">
        <v>1528</v>
      </c>
      <c r="CC133" s="174" t="s">
        <v>1491</v>
      </c>
      <c r="CD133" s="174" t="s">
        <v>1575</v>
      </c>
      <c r="CE133" s="174" t="s">
        <v>1571</v>
      </c>
      <c r="CF133" s="174" t="s">
        <v>1528</v>
      </c>
      <c r="CG133" s="174" t="s">
        <v>1569</v>
      </c>
      <c r="CH133" s="174" t="s">
        <v>1532</v>
      </c>
      <c r="CI133" s="174" t="s">
        <v>1571</v>
      </c>
      <c r="CJ133" s="174" t="s">
        <v>1529</v>
      </c>
      <c r="CK133" s="174" t="s">
        <v>1532</v>
      </c>
      <c r="CL133" s="174" t="s">
        <v>1526</v>
      </c>
      <c r="CM133" s="174" t="s">
        <v>1532</v>
      </c>
      <c r="CN133" s="174" t="s">
        <v>1532</v>
      </c>
      <c r="CO133" s="174" t="s">
        <v>1571</v>
      </c>
      <c r="CP133" s="174" t="s">
        <v>1574</v>
      </c>
      <c r="CQ133" s="174" t="s">
        <v>1610</v>
      </c>
      <c r="CS133" s="174" t="s">
        <v>1460</v>
      </c>
      <c r="CT133" s="174" t="s">
        <v>1460</v>
      </c>
      <c r="CU133" s="174" t="s">
        <v>1460</v>
      </c>
      <c r="CV133" s="174" t="s">
        <v>1460</v>
      </c>
      <c r="CX133" s="174" t="s">
        <v>1611</v>
      </c>
      <c r="CY133" s="174" t="s">
        <v>1612</v>
      </c>
      <c r="CZ133" s="174" t="s">
        <v>1576</v>
      </c>
      <c r="DA133" s="174" t="s">
        <v>1460</v>
      </c>
      <c r="DB133" s="174" t="s">
        <v>1613</v>
      </c>
      <c r="DC133" s="174" t="s">
        <v>1614</v>
      </c>
      <c r="DD133" s="174" t="s">
        <v>1615</v>
      </c>
      <c r="DF133" s="174">
        <v>5</v>
      </c>
      <c r="EE133" s="203">
        <v>2.0351999999999992</v>
      </c>
      <c r="EF133" s="174">
        <v>5</v>
      </c>
      <c r="EP133" s="174" t="s">
        <v>1618</v>
      </c>
      <c r="EQ133" s="174" t="s">
        <v>1618</v>
      </c>
      <c r="ER133" s="174" t="s">
        <v>1618</v>
      </c>
      <c r="EV133" s="174" t="s">
        <v>4210</v>
      </c>
      <c r="EW133" s="174" t="s">
        <v>4210</v>
      </c>
      <c r="EX133" s="174" t="s">
        <v>4210</v>
      </c>
      <c r="FA133" s="174" t="s">
        <v>1618</v>
      </c>
      <c r="FI133" s="174" t="s">
        <v>4210</v>
      </c>
      <c r="FJ133" s="174" t="s">
        <v>4210</v>
      </c>
      <c r="FK133" s="174" t="s">
        <v>4210</v>
      </c>
      <c r="FL133" s="174" t="s">
        <v>4210</v>
      </c>
      <c r="FM133" s="174" t="s">
        <v>4210</v>
      </c>
      <c r="FN133" s="174" t="s">
        <v>4210</v>
      </c>
      <c r="FO133" s="174" t="s">
        <v>4210</v>
      </c>
      <c r="FP133" s="174" t="s">
        <v>4210</v>
      </c>
      <c r="FQ133" s="174" t="s">
        <v>4210</v>
      </c>
      <c r="FR133" s="174" t="s">
        <v>4210</v>
      </c>
      <c r="FS133" s="174" t="s">
        <v>4210</v>
      </c>
      <c r="FT133" s="174" t="s">
        <v>4210</v>
      </c>
      <c r="FU133" s="174" t="s">
        <v>4210</v>
      </c>
      <c r="FV133" s="174" t="s">
        <v>4210</v>
      </c>
      <c r="FW133" s="174" t="s">
        <v>4210</v>
      </c>
      <c r="HA133" s="174">
        <v>6</v>
      </c>
      <c r="HB133" s="197">
        <v>130</v>
      </c>
      <c r="HC133" s="194">
        <v>84</v>
      </c>
      <c r="HD133" s="238">
        <v>110</v>
      </c>
      <c r="HE133" s="236">
        <v>25</v>
      </c>
      <c r="HF133" s="183">
        <v>195</v>
      </c>
      <c r="HG133" s="193">
        <f t="shared" si="152"/>
        <v>190</v>
      </c>
      <c r="HH133" s="192" t="e">
        <f t="shared" si="153"/>
        <v>#REF!</v>
      </c>
      <c r="HI133" s="198">
        <v>25</v>
      </c>
      <c r="HJ133" s="185">
        <v>155</v>
      </c>
      <c r="HK133" s="174">
        <v>131</v>
      </c>
      <c r="HL133" s="174">
        <f t="shared" si="121"/>
        <v>594</v>
      </c>
      <c r="HM133" s="174">
        <f t="shared" si="122"/>
        <v>584</v>
      </c>
      <c r="HN133" s="174">
        <f t="shared" si="123"/>
        <v>463</v>
      </c>
      <c r="HO133" s="174">
        <f t="shared" si="124"/>
        <v>352</v>
      </c>
      <c r="HP133" s="174">
        <f t="shared" si="125"/>
        <v>251</v>
      </c>
      <c r="HQ133" s="174">
        <f t="shared" si="126"/>
        <v>241</v>
      </c>
      <c r="HR133" s="174">
        <f t="shared" si="127"/>
        <v>241</v>
      </c>
      <c r="HS133" s="174">
        <f t="shared" si="128"/>
        <v>231</v>
      </c>
      <c r="HT133" s="174">
        <f t="shared" si="129"/>
        <v>221</v>
      </c>
      <c r="HU133" s="174">
        <f t="shared" si="130"/>
        <v>453</v>
      </c>
      <c r="HV133" s="174">
        <f t="shared" si="131"/>
        <v>241</v>
      </c>
      <c r="HW133" s="174">
        <f t="shared" si="132"/>
        <v>231</v>
      </c>
      <c r="HX133" s="174">
        <f t="shared" si="133"/>
        <v>332</v>
      </c>
      <c r="HY133" s="174">
        <f t="shared" si="134"/>
        <v>221</v>
      </c>
      <c r="HZ133" s="174">
        <f t="shared" si="135"/>
        <v>211</v>
      </c>
      <c r="IA133" s="174">
        <f t="shared" si="136"/>
        <v>201</v>
      </c>
      <c r="IB133" s="174">
        <f t="shared" si="137"/>
        <v>322</v>
      </c>
      <c r="IC133" s="174">
        <f t="shared" si="138"/>
        <v>302</v>
      </c>
      <c r="ID133" s="174">
        <f t="shared" si="139"/>
        <v>191</v>
      </c>
      <c r="IE133" s="174">
        <f t="shared" si="140"/>
        <v>292</v>
      </c>
      <c r="IF133" s="174">
        <f t="shared" si="141"/>
        <v>191</v>
      </c>
      <c r="IG133" s="174">
        <f t="shared" si="142"/>
        <v>171</v>
      </c>
      <c r="IH133" s="174">
        <f t="shared" si="143"/>
        <v>161</v>
      </c>
      <c r="II133" s="174">
        <f t="shared" si="144"/>
        <v>141</v>
      </c>
      <c r="IJ133" s="174">
        <v>133</v>
      </c>
    </row>
    <row r="134" spans="1:244" ht="13.35" customHeight="1" x14ac:dyDescent="0.2">
      <c r="A134" s="183">
        <f t="shared" si="151"/>
        <v>133</v>
      </c>
      <c r="B134" s="184">
        <f t="shared" ref="B134:B151" si="154">ROUND((A134-95)*2,0)</f>
        <v>76</v>
      </c>
      <c r="C134" s="183">
        <f t="shared" si="149"/>
        <v>1939</v>
      </c>
      <c r="F134" s="174" t="s">
        <v>1460</v>
      </c>
      <c r="G134" s="174" t="s">
        <v>1460</v>
      </c>
      <c r="H134" s="174" t="s">
        <v>1460</v>
      </c>
      <c r="I134" s="174" t="s">
        <v>1460</v>
      </c>
      <c r="J134" s="174" t="s">
        <v>1460</v>
      </c>
      <c r="K134" s="174" t="s">
        <v>1619</v>
      </c>
      <c r="L134" s="174" t="s">
        <v>1620</v>
      </c>
      <c r="M134" s="174" t="s">
        <v>1609</v>
      </c>
      <c r="N134" s="174" t="s">
        <v>1621</v>
      </c>
      <c r="O134" s="174" t="s">
        <v>231</v>
      </c>
      <c r="P134" s="174" t="s">
        <v>1622</v>
      </c>
      <c r="Q134" s="174" t="s">
        <v>1623</v>
      </c>
      <c r="R134" s="174" t="s">
        <v>1624</v>
      </c>
      <c r="S134" s="174" t="s">
        <v>1625</v>
      </c>
      <c r="T134" s="174" t="s">
        <v>1626</v>
      </c>
      <c r="U134" s="174" t="s">
        <v>1627</v>
      </c>
      <c r="V134" s="174" t="s">
        <v>1628</v>
      </c>
      <c r="W134" s="174" t="s">
        <v>1629</v>
      </c>
      <c r="X134" s="174" t="s">
        <v>1630</v>
      </c>
      <c r="Y134" s="174" t="s">
        <v>1631</v>
      </c>
      <c r="AA134" s="174" t="s">
        <v>1632</v>
      </c>
      <c r="AB134" s="174" t="s">
        <v>1633</v>
      </c>
      <c r="AD134" s="174" t="s">
        <v>1634</v>
      </c>
      <c r="AF134" s="174" t="s">
        <v>1635</v>
      </c>
      <c r="AG134" s="174" t="s">
        <v>1636</v>
      </c>
      <c r="AH134" s="174" t="s">
        <v>1637</v>
      </c>
      <c r="AJ134" s="174" t="s">
        <v>1638</v>
      </c>
      <c r="AK134" s="174" t="s">
        <v>1639</v>
      </c>
      <c r="AL134" s="174" t="s">
        <v>1640</v>
      </c>
      <c r="AM134" s="174" t="s">
        <v>1641</v>
      </c>
      <c r="AO134" s="174" t="s">
        <v>1642</v>
      </c>
      <c r="AP134" s="174" t="s">
        <v>1643</v>
      </c>
      <c r="AQ134" s="174" t="s">
        <v>1644</v>
      </c>
      <c r="AS134" s="174" t="s">
        <v>1645</v>
      </c>
      <c r="AT134" s="174" t="s">
        <v>1529</v>
      </c>
      <c r="AU134" s="174" t="s">
        <v>1645</v>
      </c>
      <c r="AV134" s="174" t="s">
        <v>1646</v>
      </c>
      <c r="AW134" s="174" t="s">
        <v>1646</v>
      </c>
      <c r="AX134" s="174" t="s">
        <v>1609</v>
      </c>
      <c r="AY134" s="174" t="s">
        <v>1526</v>
      </c>
      <c r="AZ134" s="174" t="s">
        <v>1526</v>
      </c>
      <c r="BA134" s="174" t="s">
        <v>1491</v>
      </c>
      <c r="BB134" s="174" t="s">
        <v>1609</v>
      </c>
      <c r="BC134" s="174" t="s">
        <v>1609</v>
      </c>
      <c r="BD134" s="174" t="s">
        <v>1609</v>
      </c>
      <c r="BE134" s="174" t="s">
        <v>1526</v>
      </c>
      <c r="BF134" s="174" t="s">
        <v>1526</v>
      </c>
      <c r="BG134" s="174" t="s">
        <v>1526</v>
      </c>
      <c r="BH134" s="174" t="s">
        <v>1526</v>
      </c>
      <c r="BI134" s="174" t="s">
        <v>1491</v>
      </c>
      <c r="BJ134" s="174" t="s">
        <v>1645</v>
      </c>
      <c r="BK134" s="174" t="s">
        <v>1529</v>
      </c>
      <c r="BL134" s="174" t="s">
        <v>1609</v>
      </c>
      <c r="BM134" s="174" t="s">
        <v>1645</v>
      </c>
      <c r="BN134" s="174" t="s">
        <v>1532</v>
      </c>
      <c r="BO134" s="174" t="s">
        <v>1609</v>
      </c>
      <c r="BP134" s="174" t="s">
        <v>1532</v>
      </c>
      <c r="BQ134" s="174" t="s">
        <v>1526</v>
      </c>
      <c r="BR134" s="174" t="s">
        <v>1609</v>
      </c>
      <c r="BS134" s="174" t="s">
        <v>1609</v>
      </c>
      <c r="BT134" s="174" t="s">
        <v>1526</v>
      </c>
      <c r="BU134" s="174" t="s">
        <v>1491</v>
      </c>
      <c r="BV134" s="174" t="s">
        <v>1528</v>
      </c>
      <c r="BW134" s="174" t="s">
        <v>1526</v>
      </c>
      <c r="BX134" s="174" t="s">
        <v>1491</v>
      </c>
      <c r="BY134" s="174" t="s">
        <v>1609</v>
      </c>
      <c r="BZ134" s="174" t="s">
        <v>1526</v>
      </c>
      <c r="CA134" s="174" t="s">
        <v>1491</v>
      </c>
      <c r="CB134" s="174" t="s">
        <v>1491</v>
      </c>
      <c r="CC134" s="174" t="s">
        <v>1526</v>
      </c>
      <c r="CD134" s="174" t="s">
        <v>1526</v>
      </c>
      <c r="CE134" s="174" t="s">
        <v>1491</v>
      </c>
      <c r="CF134" s="174" t="s">
        <v>1491</v>
      </c>
      <c r="CG134" s="174" t="s">
        <v>1526</v>
      </c>
      <c r="CH134" s="174" t="s">
        <v>1526</v>
      </c>
      <c r="CI134" s="174" t="s">
        <v>1532</v>
      </c>
      <c r="CJ134" s="174" t="s">
        <v>1526</v>
      </c>
      <c r="CK134" s="174" t="s">
        <v>1569</v>
      </c>
      <c r="CL134" s="174" t="s">
        <v>1609</v>
      </c>
      <c r="CM134" s="174" t="s">
        <v>1491</v>
      </c>
      <c r="CN134" s="174" t="s">
        <v>1526</v>
      </c>
      <c r="CO134" s="174" t="s">
        <v>1532</v>
      </c>
      <c r="CP134" s="174" t="s">
        <v>1569</v>
      </c>
      <c r="CQ134" s="174" t="s">
        <v>1532</v>
      </c>
      <c r="CS134" s="174" t="s">
        <v>1460</v>
      </c>
      <c r="CT134" s="174" t="s">
        <v>1460</v>
      </c>
      <c r="CU134" s="174" t="s">
        <v>1460</v>
      </c>
      <c r="CV134" s="174" t="s">
        <v>1460</v>
      </c>
      <c r="CX134" s="174" t="s">
        <v>1621</v>
      </c>
      <c r="CY134" s="174" t="s">
        <v>1647</v>
      </c>
      <c r="CZ134" s="174" t="s">
        <v>1648</v>
      </c>
      <c r="DA134" s="174" t="s">
        <v>1460</v>
      </c>
      <c r="DB134" s="174" t="s">
        <v>1649</v>
      </c>
      <c r="DC134" s="174" t="s">
        <v>1650</v>
      </c>
      <c r="DD134" s="174" t="s">
        <v>1651</v>
      </c>
      <c r="DF134" s="174">
        <v>6</v>
      </c>
      <c r="EE134" s="203">
        <v>2.0605999999999991</v>
      </c>
      <c r="EF134" s="174">
        <v>5</v>
      </c>
      <c r="EP134" s="174" t="s">
        <v>1618</v>
      </c>
      <c r="EQ134" s="174" t="s">
        <v>1618</v>
      </c>
      <c r="ER134" s="174" t="s">
        <v>1618</v>
      </c>
      <c r="EV134" s="174" t="s">
        <v>4210</v>
      </c>
      <c r="EW134" s="174" t="s">
        <v>4210</v>
      </c>
      <c r="EX134" s="174" t="s">
        <v>4210</v>
      </c>
      <c r="FA134" s="174" t="s">
        <v>1618</v>
      </c>
      <c r="FI134" s="174" t="s">
        <v>4210</v>
      </c>
      <c r="FJ134" s="174" t="s">
        <v>4210</v>
      </c>
      <c r="FK134" s="174" t="s">
        <v>4210</v>
      </c>
      <c r="FL134" s="174" t="s">
        <v>4210</v>
      </c>
      <c r="FM134" s="174" t="s">
        <v>4210</v>
      </c>
      <c r="FN134" s="174" t="s">
        <v>4210</v>
      </c>
      <c r="FO134" s="174" t="s">
        <v>4210</v>
      </c>
      <c r="FP134" s="174" t="s">
        <v>4210</v>
      </c>
      <c r="FQ134" s="174" t="s">
        <v>4210</v>
      </c>
      <c r="FR134" s="174" t="s">
        <v>4210</v>
      </c>
      <c r="FS134" s="174" t="s">
        <v>4210</v>
      </c>
      <c r="FT134" s="174" t="s">
        <v>4210</v>
      </c>
      <c r="FU134" s="174" t="s">
        <v>4210</v>
      </c>
      <c r="FV134" s="174" t="s">
        <v>4210</v>
      </c>
      <c r="FW134" s="174" t="s">
        <v>4210</v>
      </c>
      <c r="HA134" s="174">
        <v>7</v>
      </c>
      <c r="HB134" s="197">
        <v>131</v>
      </c>
      <c r="HC134" s="194">
        <v>85</v>
      </c>
      <c r="HD134" s="238">
        <v>110.5</v>
      </c>
      <c r="HE134" s="236">
        <v>25</v>
      </c>
      <c r="HF134" s="183">
        <v>196</v>
      </c>
      <c r="HG134" s="193">
        <f t="shared" si="152"/>
        <v>191</v>
      </c>
      <c r="HH134" s="192" t="e">
        <f t="shared" si="153"/>
        <v>#REF!</v>
      </c>
      <c r="HI134" s="198">
        <v>25</v>
      </c>
      <c r="HJ134" s="185">
        <v>155.5</v>
      </c>
      <c r="HK134" s="174">
        <v>132</v>
      </c>
      <c r="HL134" s="174">
        <f t="shared" si="121"/>
        <v>598</v>
      </c>
      <c r="HM134" s="174">
        <f t="shared" si="122"/>
        <v>588</v>
      </c>
      <c r="HN134" s="174">
        <f t="shared" si="123"/>
        <v>466</v>
      </c>
      <c r="HO134" s="174">
        <f t="shared" si="124"/>
        <v>354</v>
      </c>
      <c r="HP134" s="174">
        <f t="shared" si="125"/>
        <v>252</v>
      </c>
      <c r="HQ134" s="174">
        <f t="shared" si="126"/>
        <v>242</v>
      </c>
      <c r="HR134" s="174">
        <f t="shared" si="127"/>
        <v>242</v>
      </c>
      <c r="HS134" s="174">
        <f t="shared" si="128"/>
        <v>232</v>
      </c>
      <c r="HT134" s="174">
        <f t="shared" si="129"/>
        <v>222</v>
      </c>
      <c r="HU134" s="174">
        <f t="shared" si="130"/>
        <v>456</v>
      </c>
      <c r="HV134" s="174">
        <f t="shared" si="131"/>
        <v>242</v>
      </c>
      <c r="HW134" s="174">
        <f t="shared" si="132"/>
        <v>232</v>
      </c>
      <c r="HX134" s="174">
        <f t="shared" si="133"/>
        <v>334</v>
      </c>
      <c r="HY134" s="174">
        <f t="shared" si="134"/>
        <v>222</v>
      </c>
      <c r="HZ134" s="174">
        <f t="shared" si="135"/>
        <v>212</v>
      </c>
      <c r="IA134" s="174">
        <f t="shared" si="136"/>
        <v>202</v>
      </c>
      <c r="IB134" s="174">
        <f t="shared" si="137"/>
        <v>324</v>
      </c>
      <c r="IC134" s="174">
        <f t="shared" si="138"/>
        <v>304</v>
      </c>
      <c r="ID134" s="174">
        <f t="shared" si="139"/>
        <v>192</v>
      </c>
      <c r="IE134" s="174">
        <f t="shared" si="140"/>
        <v>294</v>
      </c>
      <c r="IF134" s="174">
        <f t="shared" si="141"/>
        <v>192</v>
      </c>
      <c r="IG134" s="174">
        <f t="shared" si="142"/>
        <v>172</v>
      </c>
      <c r="IH134" s="174">
        <f t="shared" si="143"/>
        <v>162</v>
      </c>
      <c r="II134" s="174">
        <f t="shared" si="144"/>
        <v>142</v>
      </c>
      <c r="IJ134" s="174">
        <v>134</v>
      </c>
    </row>
    <row r="135" spans="1:244" ht="13.35" customHeight="1" x14ac:dyDescent="0.2">
      <c r="A135" s="183">
        <f t="shared" si="151"/>
        <v>134</v>
      </c>
      <c r="B135" s="184">
        <f t="shared" si="154"/>
        <v>78</v>
      </c>
      <c r="C135" s="183">
        <f t="shared" si="149"/>
        <v>2026</v>
      </c>
      <c r="F135" s="174" t="s">
        <v>1460</v>
      </c>
      <c r="G135" s="174" t="s">
        <v>1460</v>
      </c>
      <c r="H135" s="174" t="s">
        <v>1460</v>
      </c>
      <c r="I135" s="174" t="s">
        <v>1460</v>
      </c>
      <c r="J135" s="174" t="s">
        <v>1460</v>
      </c>
      <c r="K135" s="174" t="s">
        <v>1652</v>
      </c>
      <c r="L135" s="174" t="s">
        <v>1653</v>
      </c>
      <c r="M135" s="174" t="s">
        <v>1645</v>
      </c>
      <c r="N135" s="174" t="s">
        <v>1654</v>
      </c>
      <c r="O135" s="174" t="s">
        <v>1655</v>
      </c>
      <c r="P135" s="174" t="s">
        <v>1656</v>
      </c>
      <c r="Q135" s="174" t="s">
        <v>1657</v>
      </c>
      <c r="R135" s="174" t="s">
        <v>1658</v>
      </c>
      <c r="S135" s="174" t="s">
        <v>1659</v>
      </c>
      <c r="T135" s="174" t="s">
        <v>1660</v>
      </c>
      <c r="U135" s="174" t="s">
        <v>1661</v>
      </c>
      <c r="V135" s="174" t="s">
        <v>1662</v>
      </c>
      <c r="W135" s="174" t="s">
        <v>1663</v>
      </c>
      <c r="X135" s="174" t="s">
        <v>1664</v>
      </c>
      <c r="Y135" s="174" t="s">
        <v>1665</v>
      </c>
      <c r="AA135" s="174" t="s">
        <v>1666</v>
      </c>
      <c r="AB135" s="174" t="s">
        <v>1667</v>
      </c>
      <c r="AD135" s="174" t="s">
        <v>1668</v>
      </c>
      <c r="AF135" s="174" t="s">
        <v>1669</v>
      </c>
      <c r="AG135" s="174" t="s">
        <v>1670</v>
      </c>
      <c r="AH135" s="174" t="s">
        <v>1671</v>
      </c>
      <c r="AJ135" s="174" t="s">
        <v>1672</v>
      </c>
      <c r="AK135" s="174" t="s">
        <v>1673</v>
      </c>
      <c r="AL135" s="174" t="s">
        <v>1674</v>
      </c>
      <c r="AM135" s="174" t="s">
        <v>1675</v>
      </c>
      <c r="AO135" s="174" t="s">
        <v>1676</v>
      </c>
      <c r="AP135" s="174" t="s">
        <v>1677</v>
      </c>
      <c r="AQ135" s="174" t="s">
        <v>1678</v>
      </c>
      <c r="AS135" s="174" t="s">
        <v>1679</v>
      </c>
      <c r="AT135" s="174" t="s">
        <v>1656</v>
      </c>
      <c r="AU135" s="174" t="s">
        <v>1680</v>
      </c>
      <c r="AV135" s="174" t="s">
        <v>1645</v>
      </c>
      <c r="AW135" s="174" t="s">
        <v>1645</v>
      </c>
      <c r="AX135" s="174" t="s">
        <v>1645</v>
      </c>
      <c r="AY135" s="174" t="s">
        <v>1646</v>
      </c>
      <c r="AZ135" s="174" t="s">
        <v>1645</v>
      </c>
      <c r="BA135" s="174" t="s">
        <v>1645</v>
      </c>
      <c r="BB135" s="174" t="s">
        <v>1645</v>
      </c>
      <c r="BC135" s="174" t="s">
        <v>1645</v>
      </c>
      <c r="BD135" s="174" t="s">
        <v>1646</v>
      </c>
      <c r="BE135" s="174" t="s">
        <v>1645</v>
      </c>
      <c r="BF135" s="174" t="s">
        <v>1645</v>
      </c>
      <c r="BG135" s="174" t="s">
        <v>1645</v>
      </c>
      <c r="BH135" s="174" t="s">
        <v>1645</v>
      </c>
      <c r="BI135" s="174" t="s">
        <v>1526</v>
      </c>
      <c r="BJ135" s="174" t="s">
        <v>1677</v>
      </c>
      <c r="BK135" s="174" t="s">
        <v>1526</v>
      </c>
      <c r="BL135" s="174" t="s">
        <v>1645</v>
      </c>
      <c r="BM135" s="174" t="s">
        <v>1681</v>
      </c>
      <c r="BN135" s="174" t="s">
        <v>1529</v>
      </c>
      <c r="BO135" s="174" t="s">
        <v>1645</v>
      </c>
      <c r="BP135" s="174" t="s">
        <v>1581</v>
      </c>
      <c r="BQ135" s="174" t="s">
        <v>1645</v>
      </c>
      <c r="BR135" s="174" t="s">
        <v>1645</v>
      </c>
      <c r="BS135" s="174" t="s">
        <v>1645</v>
      </c>
      <c r="BT135" s="174" t="s">
        <v>1609</v>
      </c>
      <c r="BU135" s="174" t="s">
        <v>1526</v>
      </c>
      <c r="BV135" s="174" t="s">
        <v>1571</v>
      </c>
      <c r="BW135" s="174" t="s">
        <v>1645</v>
      </c>
      <c r="BX135" s="174" t="s">
        <v>1645</v>
      </c>
      <c r="BY135" s="174" t="s">
        <v>1645</v>
      </c>
      <c r="BZ135" s="174" t="s">
        <v>1609</v>
      </c>
      <c r="CA135" s="174" t="s">
        <v>1526</v>
      </c>
      <c r="CB135" s="174" t="s">
        <v>1526</v>
      </c>
      <c r="CC135" s="174" t="s">
        <v>1645</v>
      </c>
      <c r="CD135" s="174" t="s">
        <v>1645</v>
      </c>
      <c r="CE135" s="174" t="s">
        <v>1609</v>
      </c>
      <c r="CF135" s="174" t="s">
        <v>1526</v>
      </c>
      <c r="CG135" s="174" t="s">
        <v>1645</v>
      </c>
      <c r="CH135" s="174" t="s">
        <v>1646</v>
      </c>
      <c r="CI135" s="174" t="s">
        <v>1609</v>
      </c>
      <c r="CJ135" s="174" t="s">
        <v>1609</v>
      </c>
      <c r="CK135" s="174" t="s">
        <v>1526</v>
      </c>
      <c r="CL135" s="174" t="s">
        <v>1646</v>
      </c>
      <c r="CM135" s="174" t="s">
        <v>1526</v>
      </c>
      <c r="CN135" s="174" t="s">
        <v>1645</v>
      </c>
      <c r="CO135" s="174" t="s">
        <v>1526</v>
      </c>
      <c r="CP135" s="174" t="s">
        <v>1526</v>
      </c>
      <c r="CQ135" s="174" t="s">
        <v>1491</v>
      </c>
      <c r="CS135" s="174" t="s">
        <v>1460</v>
      </c>
      <c r="CT135" s="174" t="s">
        <v>1460</v>
      </c>
      <c r="CU135" s="174" t="s">
        <v>1460</v>
      </c>
      <c r="CV135" s="174" t="s">
        <v>1460</v>
      </c>
      <c r="CX135" s="174" t="s">
        <v>1654</v>
      </c>
      <c r="CY135" s="174" t="s">
        <v>1682</v>
      </c>
      <c r="CZ135" s="174" t="s">
        <v>1490</v>
      </c>
      <c r="DA135" s="174" t="s">
        <v>1460</v>
      </c>
      <c r="DB135" s="174" t="s">
        <v>1683</v>
      </c>
      <c r="DC135" s="174" t="s">
        <v>1684</v>
      </c>
      <c r="DD135" s="174" t="s">
        <v>1683</v>
      </c>
      <c r="DF135" s="174">
        <v>7</v>
      </c>
      <c r="EE135" s="203">
        <v>2.085999999999999</v>
      </c>
      <c r="EF135" s="174">
        <v>10</v>
      </c>
      <c r="HA135" s="174">
        <v>8</v>
      </c>
      <c r="HB135" s="197">
        <v>132</v>
      </c>
      <c r="HC135" s="194">
        <v>85</v>
      </c>
      <c r="HD135" s="238">
        <v>111</v>
      </c>
      <c r="HE135" s="236">
        <v>25</v>
      </c>
      <c r="HF135" s="183">
        <v>197</v>
      </c>
      <c r="HG135" s="193">
        <f t="shared" si="152"/>
        <v>192</v>
      </c>
      <c r="HH135" s="192" t="e">
        <f t="shared" si="153"/>
        <v>#REF!</v>
      </c>
      <c r="HI135" s="198">
        <v>25</v>
      </c>
      <c r="HJ135" s="185">
        <v>156</v>
      </c>
      <c r="HK135" s="174">
        <v>133</v>
      </c>
      <c r="HL135" s="174">
        <f t="shared" si="121"/>
        <v>602</v>
      </c>
      <c r="HM135" s="174">
        <f t="shared" si="122"/>
        <v>592</v>
      </c>
      <c r="HN135" s="174">
        <f t="shared" si="123"/>
        <v>469</v>
      </c>
      <c r="HO135" s="174">
        <f t="shared" si="124"/>
        <v>356</v>
      </c>
      <c r="HP135" s="174">
        <f t="shared" si="125"/>
        <v>253</v>
      </c>
      <c r="HQ135" s="174">
        <f t="shared" si="126"/>
        <v>243</v>
      </c>
      <c r="HR135" s="174">
        <f t="shared" si="127"/>
        <v>243</v>
      </c>
      <c r="HS135" s="174">
        <f t="shared" si="128"/>
        <v>233</v>
      </c>
      <c r="HT135" s="174">
        <f t="shared" si="129"/>
        <v>223</v>
      </c>
      <c r="HU135" s="174">
        <f t="shared" si="130"/>
        <v>459</v>
      </c>
      <c r="HV135" s="174">
        <f t="shared" si="131"/>
        <v>243</v>
      </c>
      <c r="HW135" s="174">
        <f t="shared" si="132"/>
        <v>233</v>
      </c>
      <c r="HX135" s="174">
        <f t="shared" si="133"/>
        <v>336</v>
      </c>
      <c r="HY135" s="174">
        <f t="shared" si="134"/>
        <v>223</v>
      </c>
      <c r="HZ135" s="174">
        <f t="shared" si="135"/>
        <v>213</v>
      </c>
      <c r="IA135" s="174">
        <f t="shared" si="136"/>
        <v>203</v>
      </c>
      <c r="IB135" s="174">
        <f t="shared" si="137"/>
        <v>326</v>
      </c>
      <c r="IC135" s="174">
        <f t="shared" si="138"/>
        <v>306</v>
      </c>
      <c r="ID135" s="174">
        <f t="shared" si="139"/>
        <v>193</v>
      </c>
      <c r="IE135" s="174">
        <f t="shared" si="140"/>
        <v>296</v>
      </c>
      <c r="IF135" s="174">
        <f t="shared" si="141"/>
        <v>193</v>
      </c>
      <c r="IG135" s="174">
        <f t="shared" si="142"/>
        <v>173</v>
      </c>
      <c r="IH135" s="174">
        <f t="shared" si="143"/>
        <v>163</v>
      </c>
      <c r="II135" s="174">
        <f t="shared" si="144"/>
        <v>143</v>
      </c>
      <c r="IJ135" s="174">
        <v>135</v>
      </c>
    </row>
    <row r="136" spans="1:244" ht="13.35" customHeight="1" x14ac:dyDescent="0.2">
      <c r="A136" s="183">
        <f t="shared" si="151"/>
        <v>135</v>
      </c>
      <c r="B136" s="184">
        <f t="shared" si="154"/>
        <v>80</v>
      </c>
      <c r="C136" s="183">
        <f t="shared" si="149"/>
        <v>2115</v>
      </c>
      <c r="AU136" s="174" t="s">
        <v>1685</v>
      </c>
      <c r="DB136" s="174" t="s">
        <v>1686</v>
      </c>
      <c r="DC136" s="174" t="s">
        <v>1687</v>
      </c>
      <c r="DD136" s="174" t="s">
        <v>1688</v>
      </c>
      <c r="DF136" s="174">
        <v>8</v>
      </c>
      <c r="EE136" s="203">
        <v>2.1113999999999988</v>
      </c>
      <c r="EF136" s="174">
        <v>10</v>
      </c>
      <c r="HA136" s="174">
        <v>9</v>
      </c>
      <c r="HB136" s="197">
        <v>133</v>
      </c>
      <c r="HC136" s="194">
        <v>86</v>
      </c>
      <c r="HD136" s="238">
        <v>111.5</v>
      </c>
      <c r="HE136" s="236">
        <v>25</v>
      </c>
      <c r="HF136" s="183">
        <v>198</v>
      </c>
      <c r="HG136" s="193">
        <f t="shared" si="152"/>
        <v>193</v>
      </c>
      <c r="HH136" s="192" t="e">
        <f t="shared" si="153"/>
        <v>#REF!</v>
      </c>
      <c r="HI136" s="198">
        <v>25</v>
      </c>
      <c r="HJ136" s="185">
        <v>156.5</v>
      </c>
      <c r="HK136" s="174">
        <v>134</v>
      </c>
      <c r="HL136" s="174">
        <f t="shared" si="121"/>
        <v>606</v>
      </c>
      <c r="HM136" s="174">
        <f t="shared" si="122"/>
        <v>596</v>
      </c>
      <c r="HN136" s="174">
        <f t="shared" si="123"/>
        <v>472</v>
      </c>
      <c r="HO136" s="174">
        <f t="shared" si="124"/>
        <v>358</v>
      </c>
      <c r="HP136" s="174">
        <f t="shared" si="125"/>
        <v>254</v>
      </c>
      <c r="HQ136" s="174">
        <f t="shared" si="126"/>
        <v>244</v>
      </c>
      <c r="HR136" s="174">
        <f t="shared" si="127"/>
        <v>244</v>
      </c>
      <c r="HS136" s="174">
        <f t="shared" si="128"/>
        <v>234</v>
      </c>
      <c r="HT136" s="174">
        <f t="shared" si="129"/>
        <v>224</v>
      </c>
      <c r="HU136" s="174">
        <f t="shared" si="130"/>
        <v>462</v>
      </c>
      <c r="HV136" s="174">
        <f t="shared" si="131"/>
        <v>244</v>
      </c>
      <c r="HW136" s="174">
        <f t="shared" si="132"/>
        <v>234</v>
      </c>
      <c r="HX136" s="174">
        <f t="shared" si="133"/>
        <v>338</v>
      </c>
      <c r="HY136" s="174">
        <f t="shared" si="134"/>
        <v>224</v>
      </c>
      <c r="HZ136" s="174">
        <f t="shared" si="135"/>
        <v>214</v>
      </c>
      <c r="IA136" s="174">
        <f t="shared" si="136"/>
        <v>204</v>
      </c>
      <c r="IB136" s="174">
        <f t="shared" si="137"/>
        <v>328</v>
      </c>
      <c r="IC136" s="174">
        <f t="shared" si="138"/>
        <v>308</v>
      </c>
      <c r="ID136" s="174">
        <f t="shared" si="139"/>
        <v>194</v>
      </c>
      <c r="IE136" s="174">
        <f t="shared" si="140"/>
        <v>298</v>
      </c>
      <c r="IF136" s="174">
        <f t="shared" si="141"/>
        <v>194</v>
      </c>
      <c r="IG136" s="174">
        <f t="shared" si="142"/>
        <v>174</v>
      </c>
      <c r="IH136" s="174">
        <f t="shared" si="143"/>
        <v>164</v>
      </c>
      <c r="II136" s="174">
        <f t="shared" si="144"/>
        <v>144</v>
      </c>
      <c r="IJ136" s="174">
        <v>136</v>
      </c>
    </row>
    <row r="137" spans="1:244" ht="13.35" customHeight="1" x14ac:dyDescent="0.2">
      <c r="A137" s="183">
        <f t="shared" si="151"/>
        <v>136</v>
      </c>
      <c r="B137" s="184">
        <f t="shared" si="154"/>
        <v>82</v>
      </c>
      <c r="C137" s="183">
        <f t="shared" si="149"/>
        <v>2206</v>
      </c>
      <c r="F137" s="190"/>
      <c r="G137" s="190"/>
      <c r="H137" s="190"/>
      <c r="I137" s="190"/>
      <c r="J137" s="190"/>
      <c r="K137" s="190"/>
      <c r="L137" s="190"/>
      <c r="M137" s="190"/>
      <c r="N137" s="190"/>
      <c r="O137" s="190"/>
      <c r="P137" s="190"/>
      <c r="Q137" s="190"/>
      <c r="R137" s="190"/>
      <c r="S137" s="190"/>
      <c r="T137" s="190"/>
      <c r="U137" s="190"/>
      <c r="V137" s="190"/>
      <c r="W137" s="190"/>
      <c r="X137" s="190"/>
      <c r="Y137" s="190"/>
      <c r="Z137" s="190"/>
      <c r="AU137" s="174" t="s">
        <v>1689</v>
      </c>
      <c r="DB137" s="174" t="s">
        <v>1690</v>
      </c>
      <c r="DC137" s="174" t="s">
        <v>1683</v>
      </c>
      <c r="DD137" s="174" t="s">
        <v>1690</v>
      </c>
      <c r="DF137" s="174">
        <v>9</v>
      </c>
      <c r="EE137" s="203">
        <v>2.1367999999999991</v>
      </c>
      <c r="EF137" s="174">
        <v>10</v>
      </c>
      <c r="HA137" s="174">
        <v>10</v>
      </c>
      <c r="HB137" s="197">
        <v>134</v>
      </c>
      <c r="HC137" s="194">
        <v>86</v>
      </c>
      <c r="HD137" s="238">
        <v>112</v>
      </c>
      <c r="HE137" s="236">
        <v>25</v>
      </c>
      <c r="HF137" s="183">
        <v>199</v>
      </c>
      <c r="HG137" s="193">
        <f t="shared" si="152"/>
        <v>194</v>
      </c>
      <c r="HH137" s="192" t="e">
        <f t="shared" si="153"/>
        <v>#REF!</v>
      </c>
      <c r="HI137" s="198">
        <v>25</v>
      </c>
      <c r="HJ137" s="185">
        <v>157</v>
      </c>
      <c r="HK137" s="174">
        <v>135</v>
      </c>
      <c r="HL137" s="174">
        <f t="shared" si="121"/>
        <v>610</v>
      </c>
      <c r="HM137" s="174">
        <f t="shared" si="122"/>
        <v>600</v>
      </c>
      <c r="HN137" s="174">
        <f t="shared" si="123"/>
        <v>475</v>
      </c>
      <c r="HO137" s="174">
        <f t="shared" si="124"/>
        <v>360</v>
      </c>
      <c r="HP137" s="174">
        <f t="shared" si="125"/>
        <v>255</v>
      </c>
      <c r="HQ137" s="174">
        <f t="shared" si="126"/>
        <v>245</v>
      </c>
      <c r="HR137" s="174">
        <f t="shared" si="127"/>
        <v>245</v>
      </c>
      <c r="HS137" s="174">
        <f t="shared" si="128"/>
        <v>235</v>
      </c>
      <c r="HT137" s="174">
        <f t="shared" si="129"/>
        <v>225</v>
      </c>
      <c r="HU137" s="174">
        <f t="shared" si="130"/>
        <v>465</v>
      </c>
      <c r="HV137" s="174">
        <f t="shared" si="131"/>
        <v>245</v>
      </c>
      <c r="HW137" s="174">
        <f t="shared" si="132"/>
        <v>235</v>
      </c>
      <c r="HX137" s="174">
        <f t="shared" si="133"/>
        <v>340</v>
      </c>
      <c r="HY137" s="174">
        <f t="shared" si="134"/>
        <v>225</v>
      </c>
      <c r="HZ137" s="174">
        <f t="shared" si="135"/>
        <v>215</v>
      </c>
      <c r="IA137" s="174">
        <f t="shared" si="136"/>
        <v>205</v>
      </c>
      <c r="IB137" s="174">
        <f t="shared" si="137"/>
        <v>330</v>
      </c>
      <c r="IC137" s="174">
        <f t="shared" si="138"/>
        <v>310</v>
      </c>
      <c r="ID137" s="174">
        <f t="shared" si="139"/>
        <v>195</v>
      </c>
      <c r="IE137" s="174">
        <f t="shared" si="140"/>
        <v>300</v>
      </c>
      <c r="IF137" s="174">
        <f t="shared" si="141"/>
        <v>195</v>
      </c>
      <c r="IG137" s="174">
        <f t="shared" si="142"/>
        <v>175</v>
      </c>
      <c r="IH137" s="174">
        <f t="shared" si="143"/>
        <v>165</v>
      </c>
      <c r="II137" s="174">
        <f t="shared" si="144"/>
        <v>145</v>
      </c>
      <c r="IJ137" s="174">
        <v>137</v>
      </c>
    </row>
    <row r="138" spans="1:244" ht="13.35" customHeight="1" x14ac:dyDescent="0.2">
      <c r="A138" s="183">
        <f t="shared" si="151"/>
        <v>137</v>
      </c>
      <c r="B138" s="184">
        <f t="shared" si="154"/>
        <v>84</v>
      </c>
      <c r="C138" s="183">
        <f t="shared" si="149"/>
        <v>2299</v>
      </c>
      <c r="AU138" s="174" t="s">
        <v>1570</v>
      </c>
      <c r="DB138" s="174" t="s">
        <v>1691</v>
      </c>
      <c r="DC138" s="174" t="s">
        <v>1690</v>
      </c>
      <c r="DD138" s="174" t="s">
        <v>1691</v>
      </c>
      <c r="DF138" s="174">
        <v>10</v>
      </c>
      <c r="EE138" s="203">
        <v>2.162199999999999</v>
      </c>
      <c r="EF138" s="174">
        <v>10</v>
      </c>
      <c r="HA138" s="174">
        <v>11</v>
      </c>
      <c r="HB138" s="197">
        <v>135</v>
      </c>
      <c r="HC138" s="194">
        <v>87</v>
      </c>
      <c r="HD138" s="238">
        <v>112.5</v>
      </c>
      <c r="HE138" s="236">
        <v>25</v>
      </c>
      <c r="HF138" s="183">
        <v>200</v>
      </c>
      <c r="HG138" s="193">
        <f t="shared" si="152"/>
        <v>195</v>
      </c>
      <c r="HH138" s="192" t="e">
        <f t="shared" si="153"/>
        <v>#REF!</v>
      </c>
      <c r="HI138" s="198">
        <v>25</v>
      </c>
      <c r="HJ138" s="185">
        <v>157.5</v>
      </c>
      <c r="HK138" s="174">
        <v>136</v>
      </c>
      <c r="HL138" s="174">
        <f t="shared" si="121"/>
        <v>614</v>
      </c>
      <c r="HM138" s="174">
        <f t="shared" si="122"/>
        <v>604</v>
      </c>
      <c r="HN138" s="174">
        <f t="shared" si="123"/>
        <v>478</v>
      </c>
      <c r="HO138" s="174">
        <f t="shared" si="124"/>
        <v>362</v>
      </c>
      <c r="HP138" s="174">
        <f t="shared" si="125"/>
        <v>256</v>
      </c>
      <c r="HQ138" s="174">
        <f t="shared" si="126"/>
        <v>246</v>
      </c>
      <c r="HR138" s="174">
        <f t="shared" si="127"/>
        <v>246</v>
      </c>
      <c r="HS138" s="174">
        <f t="shared" si="128"/>
        <v>236</v>
      </c>
      <c r="HT138" s="174">
        <f t="shared" si="129"/>
        <v>226</v>
      </c>
      <c r="HU138" s="174">
        <f t="shared" si="130"/>
        <v>468</v>
      </c>
      <c r="HV138" s="174">
        <f t="shared" si="131"/>
        <v>246</v>
      </c>
      <c r="HW138" s="174">
        <f t="shared" si="132"/>
        <v>236</v>
      </c>
      <c r="HX138" s="174">
        <f t="shared" si="133"/>
        <v>342</v>
      </c>
      <c r="HY138" s="174">
        <f t="shared" si="134"/>
        <v>226</v>
      </c>
      <c r="HZ138" s="174">
        <f t="shared" si="135"/>
        <v>216</v>
      </c>
      <c r="IA138" s="174">
        <f t="shared" si="136"/>
        <v>206</v>
      </c>
      <c r="IB138" s="174">
        <f t="shared" si="137"/>
        <v>332</v>
      </c>
      <c r="IC138" s="174">
        <f t="shared" si="138"/>
        <v>312</v>
      </c>
      <c r="ID138" s="174">
        <f t="shared" si="139"/>
        <v>196</v>
      </c>
      <c r="IE138" s="174">
        <f t="shared" si="140"/>
        <v>302</v>
      </c>
      <c r="IF138" s="174">
        <f t="shared" si="141"/>
        <v>196</v>
      </c>
      <c r="IG138" s="174">
        <f t="shared" si="142"/>
        <v>176</v>
      </c>
      <c r="IH138" s="174">
        <f t="shared" si="143"/>
        <v>166</v>
      </c>
      <c r="II138" s="174">
        <f t="shared" si="144"/>
        <v>146</v>
      </c>
      <c r="IJ138" s="174">
        <v>138</v>
      </c>
    </row>
    <row r="139" spans="1:244" ht="13.35" customHeight="1" x14ac:dyDescent="0.2">
      <c r="A139" s="183">
        <f t="shared" si="151"/>
        <v>138</v>
      </c>
      <c r="B139" s="184">
        <f t="shared" si="154"/>
        <v>86</v>
      </c>
      <c r="C139" s="183">
        <f t="shared" si="149"/>
        <v>2394</v>
      </c>
      <c r="E139" s="207"/>
      <c r="AU139" s="174" t="s">
        <v>1494</v>
      </c>
      <c r="DB139" s="174" t="s">
        <v>1692</v>
      </c>
      <c r="DC139" s="174" t="s">
        <v>1691</v>
      </c>
      <c r="DD139" s="174" t="s">
        <v>1693</v>
      </c>
      <c r="DF139" s="174">
        <v>11</v>
      </c>
      <c r="EE139" s="203">
        <v>2.1875999999999989</v>
      </c>
      <c r="EF139" s="174">
        <v>10</v>
      </c>
      <c r="HA139" s="174">
        <v>12</v>
      </c>
      <c r="HB139" s="197">
        <v>136</v>
      </c>
      <c r="HC139" s="194">
        <v>87</v>
      </c>
      <c r="HD139" s="238">
        <v>113</v>
      </c>
      <c r="HE139" s="236">
        <v>25</v>
      </c>
      <c r="HF139" s="183">
        <v>201</v>
      </c>
      <c r="HG139" s="193">
        <f t="shared" si="152"/>
        <v>196</v>
      </c>
      <c r="HH139" s="192" t="e">
        <f t="shared" si="153"/>
        <v>#REF!</v>
      </c>
      <c r="HI139" s="198">
        <v>25</v>
      </c>
      <c r="HJ139" s="185">
        <v>158</v>
      </c>
      <c r="HK139" s="174">
        <v>137</v>
      </c>
      <c r="HL139" s="174">
        <f t="shared" si="121"/>
        <v>618</v>
      </c>
      <c r="HM139" s="174">
        <f t="shared" si="122"/>
        <v>608</v>
      </c>
      <c r="HN139" s="174">
        <f t="shared" si="123"/>
        <v>481</v>
      </c>
      <c r="HO139" s="174">
        <f t="shared" si="124"/>
        <v>364</v>
      </c>
      <c r="HP139" s="174">
        <f t="shared" si="125"/>
        <v>257</v>
      </c>
      <c r="HQ139" s="174">
        <f t="shared" si="126"/>
        <v>247</v>
      </c>
      <c r="HR139" s="174">
        <f t="shared" si="127"/>
        <v>247</v>
      </c>
      <c r="HS139" s="174">
        <f t="shared" si="128"/>
        <v>237</v>
      </c>
      <c r="HT139" s="174">
        <f t="shared" si="129"/>
        <v>227</v>
      </c>
      <c r="HU139" s="174">
        <f t="shared" si="130"/>
        <v>471</v>
      </c>
      <c r="HV139" s="174">
        <f t="shared" si="131"/>
        <v>247</v>
      </c>
      <c r="HW139" s="174">
        <f t="shared" si="132"/>
        <v>237</v>
      </c>
      <c r="HX139" s="174">
        <f t="shared" si="133"/>
        <v>344</v>
      </c>
      <c r="HY139" s="174">
        <f t="shared" si="134"/>
        <v>227</v>
      </c>
      <c r="HZ139" s="174">
        <f t="shared" si="135"/>
        <v>217</v>
      </c>
      <c r="IA139" s="174">
        <f t="shared" si="136"/>
        <v>207</v>
      </c>
      <c r="IB139" s="174">
        <f t="shared" si="137"/>
        <v>334</v>
      </c>
      <c r="IC139" s="174">
        <f t="shared" si="138"/>
        <v>314</v>
      </c>
      <c r="ID139" s="174">
        <f t="shared" si="139"/>
        <v>197</v>
      </c>
      <c r="IE139" s="174">
        <f t="shared" si="140"/>
        <v>304</v>
      </c>
      <c r="IF139" s="174">
        <f t="shared" si="141"/>
        <v>197</v>
      </c>
      <c r="IG139" s="174">
        <f t="shared" si="142"/>
        <v>177</v>
      </c>
      <c r="IH139" s="174">
        <f t="shared" si="143"/>
        <v>167</v>
      </c>
      <c r="II139" s="174">
        <f t="shared" si="144"/>
        <v>147</v>
      </c>
      <c r="IJ139" s="174">
        <v>139</v>
      </c>
    </row>
    <row r="140" spans="1:244" ht="13.35" customHeight="1" x14ac:dyDescent="0.2">
      <c r="A140" s="183">
        <f t="shared" si="151"/>
        <v>139</v>
      </c>
      <c r="B140" s="184">
        <f t="shared" si="154"/>
        <v>88</v>
      </c>
      <c r="C140" s="183">
        <f t="shared" si="149"/>
        <v>2491</v>
      </c>
      <c r="E140" s="207"/>
      <c r="AU140" s="174" t="s">
        <v>1694</v>
      </c>
      <c r="EE140" s="203">
        <v>2.2129999999999987</v>
      </c>
      <c r="EF140" s="174">
        <v>10</v>
      </c>
      <c r="HA140" s="174">
        <v>13</v>
      </c>
      <c r="HB140" s="197">
        <v>137</v>
      </c>
      <c r="HC140" s="194">
        <v>88</v>
      </c>
      <c r="HD140" s="238">
        <v>113.5</v>
      </c>
      <c r="HE140" s="236">
        <v>25</v>
      </c>
      <c r="HF140" s="183">
        <v>202</v>
      </c>
      <c r="HG140" s="193">
        <f t="shared" si="152"/>
        <v>197</v>
      </c>
      <c r="HH140" s="192" t="e">
        <f t="shared" si="153"/>
        <v>#REF!</v>
      </c>
      <c r="HI140" s="198">
        <v>25</v>
      </c>
      <c r="HJ140" s="185">
        <v>158.5</v>
      </c>
      <c r="HK140" s="174">
        <v>138</v>
      </c>
      <c r="HL140" s="174">
        <f t="shared" si="121"/>
        <v>622</v>
      </c>
      <c r="HM140" s="174">
        <f t="shared" si="122"/>
        <v>612</v>
      </c>
      <c r="HN140" s="174">
        <f t="shared" si="123"/>
        <v>484</v>
      </c>
      <c r="HO140" s="174">
        <f t="shared" si="124"/>
        <v>366</v>
      </c>
      <c r="HP140" s="174">
        <f t="shared" si="125"/>
        <v>258</v>
      </c>
      <c r="HQ140" s="174">
        <f t="shared" si="126"/>
        <v>248</v>
      </c>
      <c r="HR140" s="174">
        <f t="shared" si="127"/>
        <v>248</v>
      </c>
      <c r="HS140" s="174">
        <f t="shared" si="128"/>
        <v>238</v>
      </c>
      <c r="HT140" s="174">
        <f t="shared" si="129"/>
        <v>228</v>
      </c>
      <c r="HU140" s="174">
        <f t="shared" si="130"/>
        <v>474</v>
      </c>
      <c r="HV140" s="174">
        <f t="shared" si="131"/>
        <v>248</v>
      </c>
      <c r="HW140" s="174">
        <f t="shared" si="132"/>
        <v>238</v>
      </c>
      <c r="HX140" s="174">
        <f t="shared" si="133"/>
        <v>346</v>
      </c>
      <c r="HY140" s="174">
        <f t="shared" si="134"/>
        <v>228</v>
      </c>
      <c r="HZ140" s="174">
        <f t="shared" si="135"/>
        <v>218</v>
      </c>
      <c r="IA140" s="174">
        <f t="shared" si="136"/>
        <v>208</v>
      </c>
      <c r="IB140" s="174">
        <f t="shared" si="137"/>
        <v>336</v>
      </c>
      <c r="IC140" s="174">
        <f t="shared" si="138"/>
        <v>316</v>
      </c>
      <c r="ID140" s="174">
        <f t="shared" si="139"/>
        <v>198</v>
      </c>
      <c r="IE140" s="174">
        <f t="shared" si="140"/>
        <v>306</v>
      </c>
      <c r="IF140" s="174">
        <f t="shared" si="141"/>
        <v>198</v>
      </c>
      <c r="IG140" s="174">
        <f t="shared" si="142"/>
        <v>178</v>
      </c>
      <c r="IH140" s="174">
        <f t="shared" si="143"/>
        <v>168</v>
      </c>
      <c r="II140" s="174">
        <f t="shared" si="144"/>
        <v>148</v>
      </c>
      <c r="IJ140" s="174">
        <v>140</v>
      </c>
    </row>
    <row r="141" spans="1:244" ht="13.35" customHeight="1" x14ac:dyDescent="0.2">
      <c r="A141" s="183">
        <f t="shared" si="151"/>
        <v>140</v>
      </c>
      <c r="B141" s="184">
        <f t="shared" si="154"/>
        <v>90</v>
      </c>
      <c r="C141" s="183">
        <f t="shared" si="149"/>
        <v>2590</v>
      </c>
      <c r="E141" s="207"/>
      <c r="EE141" s="203">
        <v>2.2383999999999986</v>
      </c>
      <c r="EF141" s="174">
        <v>15</v>
      </c>
      <c r="EO141" s="174">
        <v>8</v>
      </c>
      <c r="EP141" s="174">
        <v>8</v>
      </c>
      <c r="EQ141" s="174">
        <v>8</v>
      </c>
      <c r="ER141" s="174">
        <v>8</v>
      </c>
      <c r="ES141" s="174">
        <v>8</v>
      </c>
      <c r="ET141" s="174">
        <v>8</v>
      </c>
      <c r="EU141" s="174">
        <v>8</v>
      </c>
      <c r="EV141" s="174">
        <v>8</v>
      </c>
      <c r="EW141" s="174">
        <v>8</v>
      </c>
      <c r="EX141" s="174">
        <v>8</v>
      </c>
      <c r="EY141" s="174">
        <v>8</v>
      </c>
      <c r="EZ141" s="174">
        <v>8</v>
      </c>
      <c r="FA141" s="174">
        <v>8</v>
      </c>
      <c r="FB141" s="174">
        <v>8</v>
      </c>
      <c r="FC141" s="174">
        <v>8</v>
      </c>
      <c r="FD141" s="174">
        <v>8</v>
      </c>
      <c r="FE141" s="174">
        <v>8</v>
      </c>
      <c r="FF141" s="174">
        <v>8</v>
      </c>
      <c r="FG141" s="174">
        <v>7</v>
      </c>
      <c r="FH141" s="174">
        <v>7</v>
      </c>
      <c r="FI141" s="174">
        <v>7</v>
      </c>
      <c r="FJ141" s="174">
        <v>7</v>
      </c>
      <c r="FK141" s="174">
        <v>7</v>
      </c>
      <c r="FL141" s="174">
        <v>7</v>
      </c>
      <c r="FM141" s="174">
        <v>7</v>
      </c>
      <c r="FN141" s="174">
        <v>7</v>
      </c>
      <c r="FO141" s="174">
        <v>7</v>
      </c>
      <c r="FP141" s="174">
        <v>7</v>
      </c>
      <c r="FQ141" s="174">
        <v>7</v>
      </c>
      <c r="FR141" s="174">
        <v>7</v>
      </c>
      <c r="FS141" s="174">
        <v>7</v>
      </c>
      <c r="FT141" s="174">
        <v>7</v>
      </c>
      <c r="FU141" s="174">
        <v>7</v>
      </c>
      <c r="FV141" s="174">
        <v>7</v>
      </c>
      <c r="FW141" s="174">
        <v>7</v>
      </c>
      <c r="FX141" s="174">
        <v>7</v>
      </c>
      <c r="FY141" s="174">
        <v>7</v>
      </c>
      <c r="FZ141" s="174">
        <v>7</v>
      </c>
      <c r="HA141" s="174">
        <v>14</v>
      </c>
      <c r="HB141" s="197">
        <v>138</v>
      </c>
      <c r="HC141" s="194">
        <v>88</v>
      </c>
      <c r="HD141" s="238">
        <v>114</v>
      </c>
      <c r="HE141" s="236">
        <v>25</v>
      </c>
      <c r="HF141" s="183">
        <v>203</v>
      </c>
      <c r="HG141" s="193">
        <f t="shared" si="152"/>
        <v>198</v>
      </c>
      <c r="HH141" s="192" t="e">
        <f t="shared" si="153"/>
        <v>#REF!</v>
      </c>
      <c r="HI141" s="198">
        <v>25</v>
      </c>
      <c r="HJ141" s="185">
        <v>159</v>
      </c>
      <c r="HK141" s="174">
        <v>139</v>
      </c>
      <c r="HL141" s="174">
        <f t="shared" si="121"/>
        <v>626</v>
      </c>
      <c r="HM141" s="174">
        <f t="shared" si="122"/>
        <v>616</v>
      </c>
      <c r="HN141" s="174">
        <f t="shared" si="123"/>
        <v>487</v>
      </c>
      <c r="HO141" s="174">
        <f t="shared" si="124"/>
        <v>368</v>
      </c>
      <c r="HP141" s="174">
        <f t="shared" si="125"/>
        <v>259</v>
      </c>
      <c r="HQ141" s="174">
        <f t="shared" si="126"/>
        <v>249</v>
      </c>
      <c r="HR141" s="174">
        <f t="shared" si="127"/>
        <v>249</v>
      </c>
      <c r="HS141" s="174">
        <f t="shared" si="128"/>
        <v>239</v>
      </c>
      <c r="HT141" s="174">
        <f t="shared" si="129"/>
        <v>229</v>
      </c>
      <c r="HU141" s="174">
        <f t="shared" si="130"/>
        <v>477</v>
      </c>
      <c r="HV141" s="174">
        <f t="shared" si="131"/>
        <v>249</v>
      </c>
      <c r="HW141" s="174">
        <f t="shared" si="132"/>
        <v>239</v>
      </c>
      <c r="HX141" s="174">
        <f t="shared" si="133"/>
        <v>348</v>
      </c>
      <c r="HY141" s="174">
        <f t="shared" si="134"/>
        <v>229</v>
      </c>
      <c r="HZ141" s="174">
        <f t="shared" si="135"/>
        <v>219</v>
      </c>
      <c r="IA141" s="174">
        <f t="shared" si="136"/>
        <v>209</v>
      </c>
      <c r="IB141" s="174">
        <f t="shared" si="137"/>
        <v>338</v>
      </c>
      <c r="IC141" s="174">
        <f t="shared" si="138"/>
        <v>318</v>
      </c>
      <c r="ID141" s="174">
        <f t="shared" si="139"/>
        <v>199</v>
      </c>
      <c r="IE141" s="174">
        <f t="shared" si="140"/>
        <v>308</v>
      </c>
      <c r="IF141" s="174">
        <f t="shared" si="141"/>
        <v>199</v>
      </c>
      <c r="IG141" s="174">
        <f t="shared" si="142"/>
        <v>179</v>
      </c>
      <c r="IH141" s="174">
        <f t="shared" si="143"/>
        <v>169</v>
      </c>
      <c r="II141" s="174">
        <f t="shared" si="144"/>
        <v>149</v>
      </c>
      <c r="IJ141" s="174">
        <v>141</v>
      </c>
    </row>
    <row r="142" spans="1:244" ht="13.35" customHeight="1" x14ac:dyDescent="0.2">
      <c r="A142" s="183">
        <f t="shared" si="151"/>
        <v>141</v>
      </c>
      <c r="B142" s="184">
        <f t="shared" si="154"/>
        <v>92</v>
      </c>
      <c r="C142" s="183">
        <f t="shared" si="149"/>
        <v>2691</v>
      </c>
      <c r="E142" s="207"/>
      <c r="EE142" s="203">
        <v>2.2637999999999985</v>
      </c>
      <c r="EF142" s="174">
        <v>15</v>
      </c>
      <c r="EO142" s="174">
        <v>8</v>
      </c>
      <c r="EP142" s="174">
        <v>8</v>
      </c>
      <c r="EQ142" s="174">
        <v>8</v>
      </c>
      <c r="ER142" s="174">
        <v>8</v>
      </c>
      <c r="ES142" s="174">
        <v>8</v>
      </c>
      <c r="ET142" s="174">
        <v>8</v>
      </c>
      <c r="EU142" s="174">
        <v>8</v>
      </c>
      <c r="EV142" s="174">
        <v>8</v>
      </c>
      <c r="EW142" s="174">
        <v>8</v>
      </c>
      <c r="EX142" s="174">
        <v>8</v>
      </c>
      <c r="EY142" s="174">
        <v>8</v>
      </c>
      <c r="EZ142" s="174">
        <v>8</v>
      </c>
      <c r="FA142" s="174">
        <v>8</v>
      </c>
      <c r="FB142" s="174">
        <v>8</v>
      </c>
      <c r="FC142" s="174">
        <v>8</v>
      </c>
      <c r="FD142" s="174">
        <v>8</v>
      </c>
      <c r="FE142" s="174">
        <v>8</v>
      </c>
      <c r="FF142" s="174">
        <v>8</v>
      </c>
      <c r="FG142" s="174">
        <v>7</v>
      </c>
      <c r="FH142" s="174">
        <v>7</v>
      </c>
      <c r="FI142" s="174">
        <v>7</v>
      </c>
      <c r="FJ142" s="174">
        <v>7</v>
      </c>
      <c r="FK142" s="174">
        <v>7</v>
      </c>
      <c r="FL142" s="174">
        <v>7</v>
      </c>
      <c r="FM142" s="174">
        <v>7</v>
      </c>
      <c r="FN142" s="174">
        <v>7</v>
      </c>
      <c r="FO142" s="174">
        <v>7</v>
      </c>
      <c r="FP142" s="174">
        <v>7</v>
      </c>
      <c r="FQ142" s="174">
        <v>7</v>
      </c>
      <c r="FR142" s="174">
        <v>7</v>
      </c>
      <c r="FS142" s="174">
        <v>7</v>
      </c>
      <c r="FT142" s="174">
        <v>7</v>
      </c>
      <c r="FU142" s="174">
        <v>7</v>
      </c>
      <c r="FV142" s="174">
        <v>7</v>
      </c>
      <c r="FW142" s="174">
        <v>7</v>
      </c>
      <c r="FX142" s="174">
        <v>7</v>
      </c>
      <c r="FY142" s="174">
        <v>7</v>
      </c>
      <c r="FZ142" s="174">
        <v>7</v>
      </c>
      <c r="HA142" s="174">
        <v>15</v>
      </c>
      <c r="HB142" s="197">
        <v>139</v>
      </c>
      <c r="HC142" s="194">
        <v>89</v>
      </c>
      <c r="HD142" s="238">
        <v>114.5</v>
      </c>
      <c r="HE142" s="236">
        <v>25</v>
      </c>
      <c r="HF142" s="183">
        <v>204</v>
      </c>
      <c r="HG142" s="193">
        <f t="shared" si="152"/>
        <v>199</v>
      </c>
      <c r="HH142" s="192" t="e">
        <f t="shared" si="153"/>
        <v>#REF!</v>
      </c>
      <c r="HI142" s="198">
        <v>25</v>
      </c>
      <c r="HJ142" s="185">
        <v>159.5</v>
      </c>
      <c r="HK142" s="182">
        <v>140</v>
      </c>
      <c r="HL142" s="174">
        <f t="shared" si="121"/>
        <v>630</v>
      </c>
      <c r="HM142" s="174">
        <f t="shared" si="122"/>
        <v>620</v>
      </c>
      <c r="HN142" s="174">
        <f t="shared" si="123"/>
        <v>490</v>
      </c>
      <c r="HO142" s="174">
        <f t="shared" si="124"/>
        <v>370</v>
      </c>
      <c r="HP142" s="174">
        <f t="shared" si="125"/>
        <v>260</v>
      </c>
      <c r="HQ142" s="174">
        <f t="shared" si="126"/>
        <v>250</v>
      </c>
      <c r="HR142" s="174">
        <f t="shared" si="127"/>
        <v>250</v>
      </c>
      <c r="HS142" s="174">
        <f t="shared" si="128"/>
        <v>240</v>
      </c>
      <c r="HT142" s="174">
        <f t="shared" si="129"/>
        <v>230</v>
      </c>
      <c r="HU142" s="174">
        <f t="shared" si="130"/>
        <v>480</v>
      </c>
      <c r="HV142" s="174">
        <f t="shared" si="131"/>
        <v>250</v>
      </c>
      <c r="HW142" s="174">
        <f t="shared" si="132"/>
        <v>240</v>
      </c>
      <c r="HX142" s="174">
        <f t="shared" si="133"/>
        <v>350</v>
      </c>
      <c r="HY142" s="174">
        <f t="shared" si="134"/>
        <v>230</v>
      </c>
      <c r="HZ142" s="174">
        <f t="shared" si="135"/>
        <v>220</v>
      </c>
      <c r="IA142" s="174">
        <f t="shared" si="136"/>
        <v>210</v>
      </c>
      <c r="IB142" s="174">
        <f t="shared" si="137"/>
        <v>340</v>
      </c>
      <c r="IC142" s="174">
        <f t="shared" si="138"/>
        <v>320</v>
      </c>
      <c r="ID142" s="174">
        <f t="shared" si="139"/>
        <v>200</v>
      </c>
      <c r="IE142" s="174">
        <f t="shared" si="140"/>
        <v>310</v>
      </c>
      <c r="IF142" s="174">
        <f t="shared" si="141"/>
        <v>200</v>
      </c>
      <c r="IG142" s="174">
        <f t="shared" si="142"/>
        <v>180</v>
      </c>
      <c r="IH142" s="174">
        <f t="shared" si="143"/>
        <v>170</v>
      </c>
      <c r="II142" s="174">
        <f t="shared" si="144"/>
        <v>150</v>
      </c>
      <c r="IJ142" s="182">
        <v>142</v>
      </c>
    </row>
    <row r="143" spans="1:244" ht="13.35" customHeight="1" x14ac:dyDescent="0.2">
      <c r="A143" s="183">
        <f t="shared" si="151"/>
        <v>142</v>
      </c>
      <c r="B143" s="184">
        <f t="shared" si="154"/>
        <v>94</v>
      </c>
      <c r="C143" s="183">
        <f t="shared" si="149"/>
        <v>2794</v>
      </c>
      <c r="E143" s="207"/>
      <c r="EE143" s="203">
        <v>2.2891999999999983</v>
      </c>
      <c r="EF143" s="174">
        <v>15</v>
      </c>
      <c r="EO143" s="174">
        <v>7</v>
      </c>
      <c r="EP143" s="174">
        <v>7</v>
      </c>
      <c r="EQ143" s="174">
        <v>7</v>
      </c>
      <c r="ER143" s="174">
        <v>7</v>
      </c>
      <c r="ES143" s="174">
        <v>7</v>
      </c>
      <c r="ET143" s="174">
        <v>7</v>
      </c>
      <c r="EU143" s="174">
        <v>7</v>
      </c>
      <c r="EV143" s="174">
        <v>7</v>
      </c>
      <c r="EW143" s="174">
        <v>7</v>
      </c>
      <c r="EX143" s="174">
        <v>7</v>
      </c>
      <c r="EY143" s="174">
        <v>7</v>
      </c>
      <c r="EZ143" s="174">
        <v>7</v>
      </c>
      <c r="FA143" s="174">
        <v>7</v>
      </c>
      <c r="FB143" s="174">
        <v>7</v>
      </c>
      <c r="FC143" s="174">
        <v>7</v>
      </c>
      <c r="FD143" s="174">
        <v>7</v>
      </c>
      <c r="FE143" s="174">
        <v>7</v>
      </c>
      <c r="FF143" s="174">
        <v>7</v>
      </c>
      <c r="FG143" s="174">
        <v>8</v>
      </c>
      <c r="FH143" s="174">
        <v>8</v>
      </c>
      <c r="FI143" s="174">
        <v>8</v>
      </c>
      <c r="FJ143" s="174">
        <v>8</v>
      </c>
      <c r="FK143" s="174">
        <v>8</v>
      </c>
      <c r="FL143" s="174">
        <v>8</v>
      </c>
      <c r="FM143" s="174">
        <v>8</v>
      </c>
      <c r="FN143" s="174">
        <v>8</v>
      </c>
      <c r="FO143" s="174">
        <v>8</v>
      </c>
      <c r="FP143" s="174">
        <v>8</v>
      </c>
      <c r="FQ143" s="174">
        <v>8</v>
      </c>
      <c r="FR143" s="174">
        <v>8</v>
      </c>
      <c r="FS143" s="174">
        <v>8</v>
      </c>
      <c r="FT143" s="174">
        <v>8</v>
      </c>
      <c r="FU143" s="174">
        <v>8</v>
      </c>
      <c r="FV143" s="174">
        <v>8</v>
      </c>
      <c r="FW143" s="174">
        <v>8</v>
      </c>
      <c r="FX143" s="174">
        <v>8</v>
      </c>
      <c r="FY143" s="174">
        <v>3</v>
      </c>
      <c r="FZ143" s="174">
        <v>4</v>
      </c>
      <c r="HA143" s="174">
        <v>16</v>
      </c>
      <c r="HB143" s="197">
        <v>140</v>
      </c>
      <c r="HC143" s="194">
        <v>89</v>
      </c>
      <c r="HD143" s="238">
        <v>115</v>
      </c>
      <c r="HE143" s="236">
        <v>25</v>
      </c>
      <c r="HF143" s="183">
        <v>205</v>
      </c>
      <c r="HG143" s="193">
        <f t="shared" si="152"/>
        <v>200</v>
      </c>
      <c r="HH143" s="192" t="e">
        <f t="shared" si="153"/>
        <v>#REF!</v>
      </c>
      <c r="HI143" s="198">
        <v>25</v>
      </c>
      <c r="HJ143" s="185">
        <v>160</v>
      </c>
      <c r="HK143" s="174">
        <v>141</v>
      </c>
      <c r="HL143" s="174">
        <f t="shared" si="121"/>
        <v>634</v>
      </c>
      <c r="HM143" s="174">
        <f t="shared" si="122"/>
        <v>624</v>
      </c>
      <c r="HN143" s="174">
        <f t="shared" si="123"/>
        <v>493</v>
      </c>
      <c r="HO143" s="174">
        <f t="shared" si="124"/>
        <v>372</v>
      </c>
      <c r="HP143" s="174">
        <f t="shared" si="125"/>
        <v>261</v>
      </c>
      <c r="HQ143" s="174">
        <f t="shared" si="126"/>
        <v>251</v>
      </c>
      <c r="HR143" s="174">
        <f t="shared" si="127"/>
        <v>251</v>
      </c>
      <c r="HS143" s="174">
        <f t="shared" si="128"/>
        <v>241</v>
      </c>
      <c r="HT143" s="174">
        <f t="shared" si="129"/>
        <v>231</v>
      </c>
      <c r="HU143" s="174">
        <f t="shared" si="130"/>
        <v>483</v>
      </c>
      <c r="HV143" s="174">
        <f t="shared" si="131"/>
        <v>251</v>
      </c>
      <c r="HW143" s="174">
        <f t="shared" si="132"/>
        <v>241</v>
      </c>
      <c r="HX143" s="174">
        <f t="shared" si="133"/>
        <v>352</v>
      </c>
      <c r="HY143" s="174">
        <f t="shared" si="134"/>
        <v>231</v>
      </c>
      <c r="HZ143" s="174">
        <f t="shared" si="135"/>
        <v>221</v>
      </c>
      <c r="IA143" s="174">
        <f t="shared" si="136"/>
        <v>211</v>
      </c>
      <c r="IB143" s="174">
        <f t="shared" si="137"/>
        <v>342</v>
      </c>
      <c r="IC143" s="174">
        <f t="shared" si="138"/>
        <v>322</v>
      </c>
      <c r="ID143" s="174">
        <f t="shared" si="139"/>
        <v>201</v>
      </c>
      <c r="IE143" s="174">
        <f t="shared" si="140"/>
        <v>312</v>
      </c>
      <c r="IF143" s="174">
        <f t="shared" si="141"/>
        <v>201</v>
      </c>
      <c r="IG143" s="174">
        <f t="shared" si="142"/>
        <v>181</v>
      </c>
      <c r="IH143" s="174">
        <f t="shared" si="143"/>
        <v>171</v>
      </c>
      <c r="II143" s="174">
        <f t="shared" si="144"/>
        <v>151</v>
      </c>
      <c r="IJ143" s="174">
        <v>143</v>
      </c>
    </row>
    <row r="144" spans="1:244" ht="13.35" customHeight="1" x14ac:dyDescent="0.2">
      <c r="A144" s="183">
        <f t="shared" si="151"/>
        <v>143</v>
      </c>
      <c r="B144" s="184">
        <f t="shared" si="154"/>
        <v>96</v>
      </c>
      <c r="C144" s="183">
        <f t="shared" si="149"/>
        <v>2899</v>
      </c>
      <c r="E144" s="207" t="s">
        <v>1116</v>
      </c>
      <c r="F144" s="174" t="s">
        <v>782</v>
      </c>
      <c r="G144" s="174" t="s">
        <v>783</v>
      </c>
      <c r="H144" s="174" t="s">
        <v>784</v>
      </c>
      <c r="I144" s="174" t="s">
        <v>785</v>
      </c>
      <c r="J144" s="174" t="s">
        <v>786</v>
      </c>
      <c r="K144" s="174" t="s">
        <v>787</v>
      </c>
      <c r="L144" s="174" t="s">
        <v>788</v>
      </c>
      <c r="M144" s="174" t="s">
        <v>789</v>
      </c>
      <c r="N144" s="174" t="s">
        <v>790</v>
      </c>
      <c r="O144" s="174" t="s">
        <v>791</v>
      </c>
      <c r="P144" s="174" t="s">
        <v>792</v>
      </c>
      <c r="Q144" s="174" t="s">
        <v>793</v>
      </c>
      <c r="R144" s="174" t="s">
        <v>794</v>
      </c>
      <c r="S144" s="174" t="s">
        <v>182</v>
      </c>
      <c r="T144" s="174" t="s">
        <v>795</v>
      </c>
      <c r="U144" s="174" t="s">
        <v>796</v>
      </c>
      <c r="V144" s="174" t="s">
        <v>797</v>
      </c>
      <c r="W144" s="174" t="s">
        <v>798</v>
      </c>
      <c r="X144" s="174" t="s">
        <v>799</v>
      </c>
      <c r="Y144" s="174" t="s">
        <v>800</v>
      </c>
      <c r="AA144" s="174" t="str">
        <f>AA129</f>
        <v>Arcanist (AC)</v>
      </c>
      <c r="AB144" s="174" t="str">
        <f>AB129</f>
        <v>Wizard (AC)</v>
      </c>
      <c r="AC144" s="174" t="str">
        <f>AC129</f>
        <v>Chaotic (AC)</v>
      </c>
      <c r="AD144" s="174" t="str">
        <f>AD129</f>
        <v>Magehunter (AC)</v>
      </c>
      <c r="AF144" s="174" t="s">
        <v>805</v>
      </c>
      <c r="AG144" s="174" t="s">
        <v>806</v>
      </c>
      <c r="AH144" s="174" t="s">
        <v>807</v>
      </c>
      <c r="AJ144" s="174" t="s">
        <v>808</v>
      </c>
      <c r="AK144" s="174" t="s">
        <v>809</v>
      </c>
      <c r="AL144" s="174" t="s">
        <v>810</v>
      </c>
      <c r="AM144" s="174" t="s">
        <v>811</v>
      </c>
      <c r="AO144" s="174" t="s">
        <v>812</v>
      </c>
      <c r="AP144" s="174" t="s">
        <v>813</v>
      </c>
      <c r="AQ144" s="174" t="s">
        <v>814</v>
      </c>
      <c r="AS144" s="174" t="s">
        <v>815</v>
      </c>
      <c r="AT144" s="174" t="s">
        <v>816</v>
      </c>
      <c r="AU144" s="174" t="s">
        <v>817</v>
      </c>
      <c r="AV144" s="174" t="s">
        <v>818</v>
      </c>
      <c r="AW144" s="174" t="s">
        <v>819</v>
      </c>
      <c r="AX144" s="174" t="s">
        <v>820</v>
      </c>
      <c r="AY144" s="174" t="s">
        <v>821</v>
      </c>
      <c r="AZ144" s="174" t="s">
        <v>822</v>
      </c>
      <c r="BA144" s="174" t="str">
        <f t="shared" ref="BA144:CQ144" si="155">BA129</f>
        <v>Priest of Culture</v>
      </c>
      <c r="BB144" s="174" t="str">
        <f t="shared" si="155"/>
        <v>Priest of Darkness, Night</v>
      </c>
      <c r="BC144" s="174" t="str">
        <f t="shared" si="155"/>
        <v>Priest of Dawn</v>
      </c>
      <c r="BD144" s="174" t="str">
        <f t="shared" si="155"/>
        <v>Priest of Death</v>
      </c>
      <c r="BE144" s="174" t="str">
        <f t="shared" si="155"/>
        <v>Priest of Disease</v>
      </c>
      <c r="BF144" s="174" t="str">
        <f t="shared" si="155"/>
        <v>Priest of Earth</v>
      </c>
      <c r="BG144" s="174" t="str">
        <f t="shared" si="155"/>
        <v>Priest of Fate, Destiny</v>
      </c>
      <c r="BH144" s="174" t="str">
        <f t="shared" si="155"/>
        <v>Priest of Fertility</v>
      </c>
      <c r="BI144" s="174" t="str">
        <f t="shared" si="155"/>
        <v>Priest of Fire</v>
      </c>
      <c r="BJ144" s="174" t="str">
        <f t="shared" si="155"/>
        <v>Priest of Fortune, Luck</v>
      </c>
      <c r="BK144" s="174" t="str">
        <f t="shared" si="155"/>
        <v>Priest of Guardianship</v>
      </c>
      <c r="BL144" s="174" t="str">
        <f t="shared" si="155"/>
        <v>Priest of Healing</v>
      </c>
      <c r="BM144" s="174" t="str">
        <f t="shared" si="155"/>
        <v>Priest of Hunting</v>
      </c>
      <c r="BN144" s="174" t="str">
        <f t="shared" si="155"/>
        <v>Priest of Justice, Revenge</v>
      </c>
      <c r="BO144" s="174" t="str">
        <f t="shared" si="155"/>
        <v>Priest of Light</v>
      </c>
      <c r="BP144" s="174" t="str">
        <f t="shared" si="155"/>
        <v>Priest of Lightning</v>
      </c>
      <c r="BQ144" s="174" t="str">
        <f t="shared" si="155"/>
        <v>Priest of Literature</v>
      </c>
      <c r="BR144" s="174" t="str">
        <f t="shared" si="155"/>
        <v>Priest of Love</v>
      </c>
      <c r="BS144" s="174" t="str">
        <f t="shared" si="155"/>
        <v>Priest of Magic</v>
      </c>
      <c r="BT144" s="174" t="str">
        <f t="shared" si="155"/>
        <v>Priest of Marriage</v>
      </c>
      <c r="BU144" s="174" t="str">
        <f t="shared" si="155"/>
        <v>Priest of Messengers</v>
      </c>
      <c r="BV144" s="174" t="str">
        <f t="shared" si="155"/>
        <v>Priest of Metalwork</v>
      </c>
      <c r="BW144" s="174" t="str">
        <f t="shared" si="155"/>
        <v>Priest of Mischief/Trickery</v>
      </c>
      <c r="BX144" s="174" t="str">
        <f t="shared" si="155"/>
        <v>Priest of Moon</v>
      </c>
      <c r="BY144" s="174" t="str">
        <f t="shared" si="155"/>
        <v>Priest of Music, Dance</v>
      </c>
      <c r="BZ144" s="174" t="str">
        <f t="shared" si="155"/>
        <v>Priest of Nature</v>
      </c>
      <c r="CA144" s="174" t="str">
        <f t="shared" si="155"/>
        <v>Priest of Ocean, Rivers</v>
      </c>
      <c r="CB144" s="174" t="str">
        <f t="shared" si="155"/>
        <v>Priest of Oracles</v>
      </c>
      <c r="CC144" s="174" t="str">
        <f t="shared" si="155"/>
        <v>Priest of Peace</v>
      </c>
      <c r="CD144" s="174" t="str">
        <f t="shared" si="155"/>
        <v>Priest of Prosperity</v>
      </c>
      <c r="CE144" s="174" t="str">
        <f t="shared" si="155"/>
        <v>Priest of Redemption</v>
      </c>
      <c r="CF144" s="174" t="str">
        <f t="shared" si="155"/>
        <v>Priest of Rulership</v>
      </c>
      <c r="CG144" s="174" t="str">
        <f t="shared" si="155"/>
        <v>Priest of Seasons</v>
      </c>
      <c r="CH144" s="174" t="str">
        <f t="shared" si="155"/>
        <v>Priest of Sky, Weather</v>
      </c>
      <c r="CI144" s="174" t="str">
        <f t="shared" si="155"/>
        <v>Priest of Strength</v>
      </c>
      <c r="CJ144" s="174" t="str">
        <f t="shared" si="155"/>
        <v>Priest of Sun</v>
      </c>
      <c r="CK144" s="174" t="str">
        <f t="shared" si="155"/>
        <v>Priest of Thunder</v>
      </c>
      <c r="CL144" s="174" t="str">
        <f t="shared" si="155"/>
        <v>Priest of Time</v>
      </c>
      <c r="CM144" s="174" t="str">
        <f t="shared" si="155"/>
        <v>Priest of Trade</v>
      </c>
      <c r="CN144" s="174" t="str">
        <f t="shared" si="155"/>
        <v>Priest of Vegetation</v>
      </c>
      <c r="CO144" s="174" t="str">
        <f t="shared" si="155"/>
        <v>Priest of War</v>
      </c>
      <c r="CP144" s="174" t="str">
        <f t="shared" si="155"/>
        <v>Priest of Wind</v>
      </c>
      <c r="CQ144" s="174" t="str">
        <f t="shared" si="155"/>
        <v>Priest of Wisdom</v>
      </c>
      <c r="CS144" s="174" t="str">
        <f>CS129</f>
        <v>Barbarian (FRP)</v>
      </c>
      <c r="CT144" s="174" t="str">
        <f>CT129</f>
        <v>Outrider (FRP)</v>
      </c>
      <c r="CU144" s="174" t="str">
        <f>CU129</f>
        <v>Sage (FRP)</v>
      </c>
      <c r="CV144" s="174" t="str">
        <f>CV129</f>
        <v>Swashbuckler (FRP)</v>
      </c>
      <c r="CX144" s="174" t="s">
        <v>870</v>
      </c>
      <c r="CY144" s="174" t="s">
        <v>871</v>
      </c>
      <c r="CZ144" s="174" t="s">
        <v>872</v>
      </c>
      <c r="DA144" s="174" t="s">
        <v>1149</v>
      </c>
      <c r="DB144" s="174" t="s">
        <v>874</v>
      </c>
      <c r="DC144" s="174" t="s">
        <v>875</v>
      </c>
      <c r="DD144" s="174" t="s">
        <v>876</v>
      </c>
      <c r="DE144" s="174" t="str">
        <f>DE129</f>
        <v>NEW PROF</v>
      </c>
      <c r="DF144" s="174">
        <v>1</v>
      </c>
      <c r="EE144" s="203">
        <v>2.3145999999999982</v>
      </c>
      <c r="EF144" s="174">
        <v>15</v>
      </c>
      <c r="EO144" s="174">
        <v>7</v>
      </c>
      <c r="EP144" s="174">
        <v>7</v>
      </c>
      <c r="EQ144" s="174">
        <v>7</v>
      </c>
      <c r="ER144" s="174">
        <v>7</v>
      </c>
      <c r="ES144" s="174">
        <v>7</v>
      </c>
      <c r="ET144" s="174">
        <v>7</v>
      </c>
      <c r="EU144" s="174">
        <v>7</v>
      </c>
      <c r="EV144" s="174">
        <v>7</v>
      </c>
      <c r="EW144" s="174">
        <v>7</v>
      </c>
      <c r="EX144" s="174">
        <v>7</v>
      </c>
      <c r="EY144" s="174">
        <v>7</v>
      </c>
      <c r="EZ144" s="174">
        <v>7</v>
      </c>
      <c r="FA144" s="174">
        <v>7</v>
      </c>
      <c r="FB144" s="174">
        <v>7</v>
      </c>
      <c r="FC144" s="174">
        <v>7</v>
      </c>
      <c r="FD144" s="174">
        <v>7</v>
      </c>
      <c r="FE144" s="174">
        <v>7</v>
      </c>
      <c r="FF144" s="174">
        <v>7</v>
      </c>
      <c r="FG144" s="174">
        <v>8</v>
      </c>
      <c r="FH144" s="174">
        <v>8</v>
      </c>
      <c r="FI144" s="174">
        <v>8</v>
      </c>
      <c r="FJ144" s="174">
        <v>8</v>
      </c>
      <c r="FK144" s="174">
        <v>8</v>
      </c>
      <c r="FL144" s="174">
        <v>8</v>
      </c>
      <c r="FM144" s="174">
        <v>8</v>
      </c>
      <c r="FN144" s="174">
        <v>8</v>
      </c>
      <c r="FO144" s="174">
        <v>8</v>
      </c>
      <c r="FP144" s="174">
        <v>8</v>
      </c>
      <c r="FQ144" s="174">
        <v>8</v>
      </c>
      <c r="FR144" s="174">
        <v>8</v>
      </c>
      <c r="FS144" s="174">
        <v>8</v>
      </c>
      <c r="FT144" s="174">
        <v>8</v>
      </c>
      <c r="FU144" s="174">
        <v>8</v>
      </c>
      <c r="FV144" s="174">
        <v>8</v>
      </c>
      <c r="FW144" s="174">
        <v>8</v>
      </c>
      <c r="FX144" s="174">
        <v>8</v>
      </c>
      <c r="FY144" s="174">
        <v>3</v>
      </c>
      <c r="FZ144" s="174">
        <v>4</v>
      </c>
      <c r="HA144" s="174">
        <v>17</v>
      </c>
      <c r="HB144" s="197">
        <v>141</v>
      </c>
      <c r="HC144" s="194">
        <v>90</v>
      </c>
      <c r="HD144" s="238">
        <v>115.5</v>
      </c>
      <c r="HE144" s="236">
        <v>25</v>
      </c>
      <c r="HF144" s="183">
        <v>206</v>
      </c>
      <c r="HG144" s="193">
        <f t="shared" si="152"/>
        <v>201</v>
      </c>
      <c r="HH144" s="192" t="e">
        <f t="shared" si="153"/>
        <v>#REF!</v>
      </c>
      <c r="HI144" s="198">
        <v>25</v>
      </c>
      <c r="HJ144" s="185">
        <v>160.5</v>
      </c>
      <c r="HK144" s="174">
        <v>142</v>
      </c>
      <c r="HL144" s="174">
        <f t="shared" si="121"/>
        <v>638</v>
      </c>
      <c r="HM144" s="174">
        <f t="shared" si="122"/>
        <v>628</v>
      </c>
      <c r="HN144" s="174">
        <f t="shared" si="123"/>
        <v>496</v>
      </c>
      <c r="HO144" s="174">
        <f t="shared" si="124"/>
        <v>374</v>
      </c>
      <c r="HP144" s="174">
        <f t="shared" si="125"/>
        <v>262</v>
      </c>
      <c r="HQ144" s="174">
        <f t="shared" si="126"/>
        <v>252</v>
      </c>
      <c r="HR144" s="174">
        <f t="shared" si="127"/>
        <v>252</v>
      </c>
      <c r="HS144" s="174">
        <f t="shared" si="128"/>
        <v>242</v>
      </c>
      <c r="HT144" s="174">
        <f t="shared" si="129"/>
        <v>232</v>
      </c>
      <c r="HU144" s="174">
        <f t="shared" si="130"/>
        <v>486</v>
      </c>
      <c r="HV144" s="174">
        <f t="shared" si="131"/>
        <v>252</v>
      </c>
      <c r="HW144" s="174">
        <f t="shared" si="132"/>
        <v>242</v>
      </c>
      <c r="HX144" s="174">
        <f t="shared" si="133"/>
        <v>354</v>
      </c>
      <c r="HY144" s="174">
        <f t="shared" si="134"/>
        <v>232</v>
      </c>
      <c r="HZ144" s="174">
        <f t="shared" si="135"/>
        <v>222</v>
      </c>
      <c r="IA144" s="174">
        <f t="shared" si="136"/>
        <v>212</v>
      </c>
      <c r="IB144" s="174">
        <f t="shared" si="137"/>
        <v>344</v>
      </c>
      <c r="IC144" s="174">
        <f t="shared" si="138"/>
        <v>324</v>
      </c>
      <c r="ID144" s="174">
        <f t="shared" si="139"/>
        <v>202</v>
      </c>
      <c r="IE144" s="174">
        <f t="shared" si="140"/>
        <v>314</v>
      </c>
      <c r="IF144" s="174">
        <f t="shared" si="141"/>
        <v>202</v>
      </c>
      <c r="IG144" s="174">
        <f t="shared" si="142"/>
        <v>182</v>
      </c>
      <c r="IH144" s="174">
        <f t="shared" si="143"/>
        <v>172</v>
      </c>
      <c r="II144" s="174">
        <f t="shared" si="144"/>
        <v>152</v>
      </c>
      <c r="IJ144" s="174">
        <v>144</v>
      </c>
    </row>
    <row r="145" spans="1:244" ht="13.35" customHeight="1" x14ac:dyDescent="0.2">
      <c r="A145" s="183">
        <f t="shared" si="151"/>
        <v>144</v>
      </c>
      <c r="B145" s="184">
        <f t="shared" si="154"/>
        <v>98</v>
      </c>
      <c r="C145" s="183">
        <f t="shared" si="149"/>
        <v>3006</v>
      </c>
      <c r="E145" s="207"/>
      <c r="F145" s="182" t="s">
        <v>1695</v>
      </c>
      <c r="G145" s="182" t="s">
        <v>1696</v>
      </c>
      <c r="H145" s="182" t="s">
        <v>549</v>
      </c>
      <c r="I145" s="182" t="s">
        <v>480</v>
      </c>
      <c r="J145" s="182" t="s">
        <v>1697</v>
      </c>
      <c r="K145" s="182" t="s">
        <v>505</v>
      </c>
      <c r="L145" s="182" t="s">
        <v>505</v>
      </c>
      <c r="M145" s="182" t="s">
        <v>505</v>
      </c>
      <c r="N145" s="182" t="s">
        <v>505</v>
      </c>
      <c r="O145" s="182" t="s">
        <v>485</v>
      </c>
      <c r="P145" s="182" t="s">
        <v>505</v>
      </c>
      <c r="Q145" s="182" t="s">
        <v>505</v>
      </c>
      <c r="R145" s="182" t="s">
        <v>505</v>
      </c>
      <c r="S145" s="182" t="s">
        <v>505</v>
      </c>
      <c r="T145" s="182" t="s">
        <v>1407</v>
      </c>
      <c r="U145" s="182" t="s">
        <v>656</v>
      </c>
      <c r="V145" s="182" t="s">
        <v>505</v>
      </c>
      <c r="W145" s="182" t="s">
        <v>480</v>
      </c>
      <c r="X145" s="182" t="s">
        <v>505</v>
      </c>
      <c r="Y145" s="182" t="s">
        <v>248</v>
      </c>
      <c r="Z145" s="182"/>
      <c r="AA145" s="182" t="s">
        <v>1698</v>
      </c>
      <c r="AB145" s="182" t="s">
        <v>1699</v>
      </c>
      <c r="AC145" s="182" t="s">
        <v>639</v>
      </c>
      <c r="AD145" s="182" t="s">
        <v>620</v>
      </c>
      <c r="AE145" s="182"/>
      <c r="AF145" s="182" t="s">
        <v>1700</v>
      </c>
      <c r="AG145" s="182" t="s">
        <v>505</v>
      </c>
      <c r="AH145" s="182" t="s">
        <v>248</v>
      </c>
      <c r="AI145" s="182"/>
      <c r="AJ145" s="182" t="s">
        <v>1349</v>
      </c>
      <c r="AK145" s="182" t="s">
        <v>650</v>
      </c>
      <c r="AL145" s="182" t="s">
        <v>570</v>
      </c>
      <c r="AM145" s="182" t="s">
        <v>628</v>
      </c>
      <c r="AN145" s="182"/>
      <c r="AO145" s="182" t="s">
        <v>505</v>
      </c>
      <c r="AP145" s="182" t="s">
        <v>505</v>
      </c>
      <c r="AQ145" s="182" t="s">
        <v>248</v>
      </c>
      <c r="AR145" s="182"/>
      <c r="AS145" s="182" t="s">
        <v>1701</v>
      </c>
      <c r="AT145" s="182" t="s">
        <v>562</v>
      </c>
      <c r="AU145" s="182" t="s">
        <v>1702</v>
      </c>
      <c r="AV145" s="182" t="s">
        <v>1703</v>
      </c>
      <c r="AW145" s="182" t="s">
        <v>681</v>
      </c>
      <c r="AX145" s="182" t="s">
        <v>562</v>
      </c>
      <c r="AY145" s="182" t="s">
        <v>1703</v>
      </c>
      <c r="AZ145" s="182" t="s">
        <v>1703</v>
      </c>
      <c r="BA145" s="182" t="s">
        <v>1290</v>
      </c>
      <c r="BB145" s="182" t="s">
        <v>1703</v>
      </c>
      <c r="BC145" s="182" t="s">
        <v>1703</v>
      </c>
      <c r="BD145" s="182" t="s">
        <v>248</v>
      </c>
      <c r="BE145" s="182" t="s">
        <v>1703</v>
      </c>
      <c r="BF145" s="182" t="s">
        <v>1290</v>
      </c>
      <c r="BG145" s="182" t="s">
        <v>1290</v>
      </c>
      <c r="BH145" s="182" t="s">
        <v>531</v>
      </c>
      <c r="BI145" s="182" t="s">
        <v>1703</v>
      </c>
      <c r="BJ145" s="182" t="s">
        <v>682</v>
      </c>
      <c r="BK145" s="182" t="s">
        <v>606</v>
      </c>
      <c r="BL145" s="182" t="s">
        <v>1137</v>
      </c>
      <c r="BM145" s="182" t="s">
        <v>1704</v>
      </c>
      <c r="BN145" s="182" t="s">
        <v>1703</v>
      </c>
      <c r="BO145" s="182" t="s">
        <v>681</v>
      </c>
      <c r="BP145" s="182" t="s">
        <v>1703</v>
      </c>
      <c r="BQ145" s="182" t="s">
        <v>1705</v>
      </c>
      <c r="BR145" s="182" t="s">
        <v>1703</v>
      </c>
      <c r="BS145" s="182" t="s">
        <v>1703</v>
      </c>
      <c r="BT145" s="182" t="s">
        <v>1290</v>
      </c>
      <c r="BU145" s="182" t="s">
        <v>1705</v>
      </c>
      <c r="BV145" s="182" t="s">
        <v>1706</v>
      </c>
      <c r="BW145" s="182" t="s">
        <v>1707</v>
      </c>
      <c r="BX145" s="182" t="s">
        <v>1708</v>
      </c>
      <c r="BY145" s="182" t="s">
        <v>1709</v>
      </c>
      <c r="BZ145" s="182" t="s">
        <v>1704</v>
      </c>
      <c r="CA145" s="182" t="s">
        <v>536</v>
      </c>
      <c r="CB145" s="182" t="s">
        <v>1307</v>
      </c>
      <c r="CC145" s="182" t="s">
        <v>1710</v>
      </c>
      <c r="CD145" s="182" t="s">
        <v>696</v>
      </c>
      <c r="CE145" s="182" t="s">
        <v>1707</v>
      </c>
      <c r="CF145" s="182" t="s">
        <v>1707</v>
      </c>
      <c r="CG145" s="182" t="s">
        <v>1307</v>
      </c>
      <c r="CH145" s="182" t="s">
        <v>1703</v>
      </c>
      <c r="CI145" s="182" t="s">
        <v>1703</v>
      </c>
      <c r="CJ145" s="182" t="s">
        <v>1137</v>
      </c>
      <c r="CK145" s="182" t="s">
        <v>1703</v>
      </c>
      <c r="CL145" s="182" t="s">
        <v>1711</v>
      </c>
      <c r="CM145" s="182"/>
      <c r="CN145" s="182" t="s">
        <v>1703</v>
      </c>
      <c r="CO145" s="182" t="s">
        <v>1712</v>
      </c>
      <c r="CP145" s="182" t="s">
        <v>1713</v>
      </c>
      <c r="CQ145" s="182" t="s">
        <v>1705</v>
      </c>
      <c r="CR145" s="182"/>
      <c r="CS145" s="182" t="s">
        <v>1714</v>
      </c>
      <c r="CT145" s="182" t="s">
        <v>1715</v>
      </c>
      <c r="CU145" s="182" t="s">
        <v>1716</v>
      </c>
      <c r="CV145" s="182" t="s">
        <v>1717</v>
      </c>
      <c r="CW145" s="182"/>
      <c r="CX145" s="182" t="s">
        <v>1718</v>
      </c>
      <c r="CY145" s="182" t="s">
        <v>505</v>
      </c>
      <c r="CZ145" s="182" t="s">
        <v>505</v>
      </c>
      <c r="DA145" s="182" t="s">
        <v>1714</v>
      </c>
      <c r="DB145" s="182" t="s">
        <v>505</v>
      </c>
      <c r="DC145" s="182" t="s">
        <v>505</v>
      </c>
      <c r="DD145" s="182" t="s">
        <v>505</v>
      </c>
      <c r="DE145" s="182"/>
      <c r="DF145" s="174">
        <v>2</v>
      </c>
      <c r="EE145" s="203">
        <v>2.3399999999999981</v>
      </c>
      <c r="EF145" s="174">
        <v>15</v>
      </c>
      <c r="EP145" s="174">
        <v>7</v>
      </c>
      <c r="EQ145" s="174">
        <v>7</v>
      </c>
      <c r="ER145" s="174">
        <v>7</v>
      </c>
      <c r="EV145" s="174">
        <v>8</v>
      </c>
      <c r="EW145" s="174">
        <v>8</v>
      </c>
      <c r="EX145" s="174">
        <v>8</v>
      </c>
      <c r="FA145" s="174">
        <v>7</v>
      </c>
      <c r="FI145" s="174">
        <v>7</v>
      </c>
      <c r="FJ145" s="174">
        <v>7</v>
      </c>
      <c r="FK145" s="174">
        <v>7</v>
      </c>
      <c r="FL145" s="174">
        <v>7</v>
      </c>
      <c r="FM145" s="174">
        <v>7</v>
      </c>
      <c r="FN145" s="174">
        <v>7</v>
      </c>
      <c r="FO145" s="174">
        <v>7</v>
      </c>
      <c r="FP145" s="174">
        <v>7</v>
      </c>
      <c r="FQ145" s="174">
        <v>7</v>
      </c>
      <c r="FR145" s="174">
        <v>7</v>
      </c>
      <c r="FS145" s="174">
        <v>7</v>
      </c>
      <c r="FT145" s="174">
        <v>7</v>
      </c>
      <c r="FU145" s="174">
        <v>7</v>
      </c>
      <c r="FV145" s="174">
        <v>7</v>
      </c>
      <c r="FW145" s="174">
        <v>7</v>
      </c>
      <c r="FZ145" s="174">
        <v>6</v>
      </c>
      <c r="HA145" s="174">
        <v>18</v>
      </c>
      <c r="HB145" s="197">
        <v>142</v>
      </c>
      <c r="HC145" s="194">
        <v>90</v>
      </c>
      <c r="HD145" s="238">
        <v>116</v>
      </c>
      <c r="HE145" s="236">
        <v>25</v>
      </c>
      <c r="HF145" s="183">
        <v>207</v>
      </c>
      <c r="HG145" s="193">
        <f t="shared" si="152"/>
        <v>202</v>
      </c>
      <c r="HH145" s="192" t="e">
        <f t="shared" si="153"/>
        <v>#REF!</v>
      </c>
      <c r="HI145" s="198">
        <v>25</v>
      </c>
      <c r="HJ145" s="185">
        <v>161</v>
      </c>
      <c r="HK145" s="174">
        <v>143</v>
      </c>
      <c r="HL145" s="174">
        <f t="shared" si="121"/>
        <v>642</v>
      </c>
      <c r="HM145" s="174">
        <f t="shared" si="122"/>
        <v>632</v>
      </c>
      <c r="HN145" s="174">
        <f t="shared" si="123"/>
        <v>499</v>
      </c>
      <c r="HO145" s="174">
        <f t="shared" si="124"/>
        <v>376</v>
      </c>
      <c r="HP145" s="174">
        <f t="shared" si="125"/>
        <v>263</v>
      </c>
      <c r="HQ145" s="174">
        <f t="shared" si="126"/>
        <v>253</v>
      </c>
      <c r="HR145" s="174">
        <f t="shared" si="127"/>
        <v>253</v>
      </c>
      <c r="HS145" s="174">
        <f t="shared" si="128"/>
        <v>243</v>
      </c>
      <c r="HT145" s="174">
        <f t="shared" si="129"/>
        <v>233</v>
      </c>
      <c r="HU145" s="174">
        <f t="shared" si="130"/>
        <v>489</v>
      </c>
      <c r="HV145" s="174">
        <f t="shared" si="131"/>
        <v>253</v>
      </c>
      <c r="HW145" s="174">
        <f t="shared" si="132"/>
        <v>243</v>
      </c>
      <c r="HX145" s="174">
        <f t="shared" si="133"/>
        <v>356</v>
      </c>
      <c r="HY145" s="174">
        <f t="shared" si="134"/>
        <v>233</v>
      </c>
      <c r="HZ145" s="174">
        <f t="shared" si="135"/>
        <v>223</v>
      </c>
      <c r="IA145" s="174">
        <f t="shared" si="136"/>
        <v>213</v>
      </c>
      <c r="IB145" s="174">
        <f t="shared" si="137"/>
        <v>346</v>
      </c>
      <c r="IC145" s="174">
        <f t="shared" si="138"/>
        <v>326</v>
      </c>
      <c r="ID145" s="174">
        <f t="shared" si="139"/>
        <v>203</v>
      </c>
      <c r="IE145" s="174">
        <f t="shared" si="140"/>
        <v>316</v>
      </c>
      <c r="IF145" s="174">
        <f t="shared" si="141"/>
        <v>203</v>
      </c>
      <c r="IG145" s="174">
        <f t="shared" si="142"/>
        <v>183</v>
      </c>
      <c r="IH145" s="174">
        <f t="shared" si="143"/>
        <v>173</v>
      </c>
      <c r="II145" s="174">
        <f t="shared" si="144"/>
        <v>153</v>
      </c>
      <c r="IJ145" s="174">
        <v>145</v>
      </c>
    </row>
    <row r="146" spans="1:244" ht="13.35" customHeight="1" x14ac:dyDescent="0.2">
      <c r="A146" s="183">
        <f t="shared" si="151"/>
        <v>145</v>
      </c>
      <c r="B146" s="184">
        <f t="shared" si="154"/>
        <v>100</v>
      </c>
      <c r="C146" s="183">
        <f t="shared" si="149"/>
        <v>3115</v>
      </c>
      <c r="E146" s="207"/>
      <c r="F146" s="182" t="s">
        <v>551</v>
      </c>
      <c r="G146" s="182" t="s">
        <v>549</v>
      </c>
      <c r="H146" s="182" t="s">
        <v>581</v>
      </c>
      <c r="I146" s="182" t="s">
        <v>1719</v>
      </c>
      <c r="J146" s="182"/>
      <c r="K146" s="182" t="s">
        <v>623</v>
      </c>
      <c r="L146" s="182" t="s">
        <v>650</v>
      </c>
      <c r="M146" s="182" t="s">
        <v>650</v>
      </c>
      <c r="N146" s="182" t="s">
        <v>650</v>
      </c>
      <c r="O146" s="182" t="s">
        <v>505</v>
      </c>
      <c r="P146" s="182" t="s">
        <v>602</v>
      </c>
      <c r="Q146" s="182" t="s">
        <v>1720</v>
      </c>
      <c r="R146" s="182" t="s">
        <v>1720</v>
      </c>
      <c r="S146" s="182" t="s">
        <v>623</v>
      </c>
      <c r="T146" s="182"/>
      <c r="U146" s="182"/>
      <c r="V146" s="182"/>
      <c r="W146" s="182" t="s">
        <v>505</v>
      </c>
      <c r="X146" s="182"/>
      <c r="Y146" s="182"/>
      <c r="Z146" s="182"/>
      <c r="AA146" s="182"/>
      <c r="AB146" s="182"/>
      <c r="AC146" s="182"/>
      <c r="AD146" s="182"/>
      <c r="AE146" s="182"/>
      <c r="AF146" s="182" t="s">
        <v>1721</v>
      </c>
      <c r="AG146" s="182" t="s">
        <v>1699</v>
      </c>
      <c r="AH146" s="208"/>
      <c r="AI146" s="208"/>
      <c r="AJ146" s="182" t="s">
        <v>712</v>
      </c>
      <c r="AK146" s="182" t="s">
        <v>505</v>
      </c>
      <c r="AL146" s="182" t="s">
        <v>1290</v>
      </c>
      <c r="AM146" s="182" t="s">
        <v>1718</v>
      </c>
      <c r="AN146" s="182"/>
      <c r="AO146" s="182" t="s">
        <v>623</v>
      </c>
      <c r="AP146" s="182" t="s">
        <v>650</v>
      </c>
      <c r="AQ146" s="182"/>
      <c r="AR146" s="182"/>
      <c r="AS146" s="182" t="s">
        <v>1290</v>
      </c>
      <c r="AT146" s="182" t="s">
        <v>1703</v>
      </c>
      <c r="AU146" s="182" t="s">
        <v>1703</v>
      </c>
      <c r="AV146" s="182" t="s">
        <v>1722</v>
      </c>
      <c r="AW146" s="182" t="s">
        <v>1137</v>
      </c>
      <c r="AX146" s="182" t="s">
        <v>553</v>
      </c>
      <c r="AY146" s="182" t="s">
        <v>1723</v>
      </c>
      <c r="AZ146" s="182" t="s">
        <v>1724</v>
      </c>
      <c r="BA146" s="182" t="s">
        <v>1703</v>
      </c>
      <c r="BB146" s="182" t="s">
        <v>571</v>
      </c>
      <c r="BC146" s="182" t="s">
        <v>1725</v>
      </c>
      <c r="BD146" s="182"/>
      <c r="BE146" s="182" t="s">
        <v>1290</v>
      </c>
      <c r="BF146" s="182" t="s">
        <v>1703</v>
      </c>
      <c r="BG146" s="182" t="s">
        <v>1703</v>
      </c>
      <c r="BH146" s="182" t="s">
        <v>1177</v>
      </c>
      <c r="BI146" s="182" t="s">
        <v>571</v>
      </c>
      <c r="BJ146" s="182" t="s">
        <v>1703</v>
      </c>
      <c r="BK146" s="182" t="s">
        <v>681</v>
      </c>
      <c r="BL146" s="182" t="s">
        <v>1726</v>
      </c>
      <c r="BM146" s="182" t="s">
        <v>494</v>
      </c>
      <c r="BN146" s="182" t="s">
        <v>1727</v>
      </c>
      <c r="BO146" s="182" t="s">
        <v>1308</v>
      </c>
      <c r="BP146" s="182"/>
      <c r="BQ146" s="182" t="s">
        <v>423</v>
      </c>
      <c r="BR146" s="182" t="s">
        <v>415</v>
      </c>
      <c r="BS146" s="182" t="s">
        <v>1728</v>
      </c>
      <c r="BT146" s="182" t="s">
        <v>1707</v>
      </c>
      <c r="BU146" s="182" t="s">
        <v>1707</v>
      </c>
      <c r="BV146" s="182" t="s">
        <v>1124</v>
      </c>
      <c r="BW146" s="182" t="s">
        <v>1729</v>
      </c>
      <c r="BX146" s="182" t="s">
        <v>1703</v>
      </c>
      <c r="BY146" s="182" t="s">
        <v>1290</v>
      </c>
      <c r="BZ146" s="182" t="s">
        <v>1137</v>
      </c>
      <c r="CA146" s="182" t="s">
        <v>685</v>
      </c>
      <c r="CB146" s="182" t="s">
        <v>616</v>
      </c>
      <c r="CC146" s="182" t="s">
        <v>1705</v>
      </c>
      <c r="CD146" s="182" t="s">
        <v>1730</v>
      </c>
      <c r="CE146" s="182"/>
      <c r="CF146" s="182" t="s">
        <v>562</v>
      </c>
      <c r="CG146" s="182" t="s">
        <v>1731</v>
      </c>
      <c r="CH146" s="182" t="s">
        <v>1701</v>
      </c>
      <c r="CI146" s="182" t="s">
        <v>1732</v>
      </c>
      <c r="CJ146" s="182" t="s">
        <v>1726</v>
      </c>
      <c r="CK146" s="182" t="s">
        <v>1701</v>
      </c>
      <c r="CL146" s="182" t="s">
        <v>1703</v>
      </c>
      <c r="CM146" s="182" t="s">
        <v>1733</v>
      </c>
      <c r="CN146" s="182" t="s">
        <v>1701</v>
      </c>
      <c r="CO146" s="182" t="s">
        <v>606</v>
      </c>
      <c r="CP146" s="182" t="s">
        <v>1703</v>
      </c>
      <c r="CQ146" s="182" t="s">
        <v>1290</v>
      </c>
      <c r="CR146" s="182"/>
      <c r="CS146" s="182" t="s">
        <v>1715</v>
      </c>
      <c r="CT146" s="182" t="s">
        <v>524</v>
      </c>
      <c r="CU146" s="182" t="s">
        <v>1734</v>
      </c>
      <c r="CV146" s="182" t="s">
        <v>1735</v>
      </c>
      <c r="CW146" s="182"/>
      <c r="CX146" s="182" t="s">
        <v>560</v>
      </c>
      <c r="CY146" s="182" t="s">
        <v>650</v>
      </c>
      <c r="CZ146" s="182" t="s">
        <v>650</v>
      </c>
      <c r="DA146" s="182" t="s">
        <v>1715</v>
      </c>
      <c r="DB146" s="182" t="s">
        <v>623</v>
      </c>
      <c r="DC146" s="182" t="s">
        <v>623</v>
      </c>
      <c r="DD146" s="182" t="s">
        <v>623</v>
      </c>
      <c r="DE146" s="182"/>
      <c r="DF146" s="174">
        <v>3</v>
      </c>
      <c r="EE146" s="203">
        <v>2.3653999999999984</v>
      </c>
      <c r="EF146" s="174">
        <v>15</v>
      </c>
      <c r="EP146" s="174">
        <v>7</v>
      </c>
      <c r="EQ146" s="174">
        <v>7</v>
      </c>
      <c r="ER146" s="174">
        <v>7</v>
      </c>
      <c r="EV146" s="174">
        <v>8</v>
      </c>
      <c r="EW146" s="174">
        <v>8</v>
      </c>
      <c r="EX146" s="174">
        <v>8</v>
      </c>
      <c r="FA146" s="174">
        <v>7</v>
      </c>
      <c r="FI146" s="174">
        <v>7</v>
      </c>
      <c r="FJ146" s="174">
        <v>7</v>
      </c>
      <c r="FK146" s="174">
        <v>7</v>
      </c>
      <c r="FL146" s="174">
        <v>7</v>
      </c>
      <c r="FM146" s="174">
        <v>7</v>
      </c>
      <c r="FN146" s="174">
        <v>7</v>
      </c>
      <c r="FO146" s="174">
        <v>7</v>
      </c>
      <c r="FP146" s="174">
        <v>7</v>
      </c>
      <c r="FQ146" s="174">
        <v>7</v>
      </c>
      <c r="FR146" s="174">
        <v>7</v>
      </c>
      <c r="FS146" s="174">
        <v>7</v>
      </c>
      <c r="FT146" s="174">
        <v>7</v>
      </c>
      <c r="FU146" s="174">
        <v>7</v>
      </c>
      <c r="FV146" s="174">
        <v>7</v>
      </c>
      <c r="FW146" s="174">
        <v>7</v>
      </c>
      <c r="FZ146" s="174">
        <v>6</v>
      </c>
      <c r="HA146" s="174">
        <v>19</v>
      </c>
      <c r="HB146" s="197">
        <v>143</v>
      </c>
      <c r="HC146" s="194">
        <v>91</v>
      </c>
      <c r="HD146" s="238">
        <v>116.5</v>
      </c>
      <c r="HE146" s="236">
        <v>25</v>
      </c>
      <c r="HF146" s="183">
        <v>208</v>
      </c>
      <c r="HG146" s="193">
        <f t="shared" si="152"/>
        <v>203</v>
      </c>
      <c r="HH146" s="192" t="e">
        <f t="shared" si="153"/>
        <v>#REF!</v>
      </c>
      <c r="HI146" s="198">
        <v>25</v>
      </c>
      <c r="HJ146" s="185">
        <v>161.5</v>
      </c>
      <c r="HK146" s="174">
        <v>144</v>
      </c>
      <c r="HL146" s="174">
        <f t="shared" si="121"/>
        <v>646</v>
      </c>
      <c r="HM146" s="174">
        <f t="shared" si="122"/>
        <v>636</v>
      </c>
      <c r="HN146" s="174">
        <f t="shared" si="123"/>
        <v>502</v>
      </c>
      <c r="HO146" s="174">
        <f t="shared" si="124"/>
        <v>378</v>
      </c>
      <c r="HP146" s="174">
        <f t="shared" si="125"/>
        <v>264</v>
      </c>
      <c r="HQ146" s="174">
        <f t="shared" si="126"/>
        <v>254</v>
      </c>
      <c r="HR146" s="174">
        <f t="shared" si="127"/>
        <v>254</v>
      </c>
      <c r="HS146" s="174">
        <f t="shared" si="128"/>
        <v>244</v>
      </c>
      <c r="HT146" s="174">
        <f t="shared" si="129"/>
        <v>234</v>
      </c>
      <c r="HU146" s="174">
        <f t="shared" si="130"/>
        <v>492</v>
      </c>
      <c r="HV146" s="174">
        <f t="shared" si="131"/>
        <v>254</v>
      </c>
      <c r="HW146" s="174">
        <f t="shared" si="132"/>
        <v>244</v>
      </c>
      <c r="HX146" s="174">
        <f t="shared" si="133"/>
        <v>358</v>
      </c>
      <c r="HY146" s="174">
        <f t="shared" si="134"/>
        <v>234</v>
      </c>
      <c r="HZ146" s="174">
        <f t="shared" si="135"/>
        <v>224</v>
      </c>
      <c r="IA146" s="174">
        <f t="shared" si="136"/>
        <v>214</v>
      </c>
      <c r="IB146" s="174">
        <f t="shared" si="137"/>
        <v>348</v>
      </c>
      <c r="IC146" s="174">
        <f t="shared" si="138"/>
        <v>328</v>
      </c>
      <c r="ID146" s="174">
        <f t="shared" si="139"/>
        <v>204</v>
      </c>
      <c r="IE146" s="174">
        <f t="shared" si="140"/>
        <v>318</v>
      </c>
      <c r="IF146" s="174">
        <f t="shared" si="141"/>
        <v>204</v>
      </c>
      <c r="IG146" s="174">
        <f t="shared" si="142"/>
        <v>184</v>
      </c>
      <c r="IH146" s="174">
        <f t="shared" si="143"/>
        <v>174</v>
      </c>
      <c r="II146" s="174">
        <f t="shared" si="144"/>
        <v>154</v>
      </c>
      <c r="IJ146" s="174">
        <v>146</v>
      </c>
    </row>
    <row r="147" spans="1:244" ht="13.35" customHeight="1" x14ac:dyDescent="0.2">
      <c r="A147" s="183">
        <f t="shared" si="151"/>
        <v>146</v>
      </c>
      <c r="B147" s="184">
        <f t="shared" si="154"/>
        <v>102</v>
      </c>
      <c r="C147" s="183">
        <f t="shared" si="149"/>
        <v>3226</v>
      </c>
      <c r="E147" s="207"/>
      <c r="F147" s="182" t="s">
        <v>648</v>
      </c>
      <c r="G147" s="182" t="s">
        <v>513</v>
      </c>
      <c r="H147" s="182" t="s">
        <v>1696</v>
      </c>
      <c r="I147" s="182"/>
      <c r="J147" s="182"/>
      <c r="K147" s="182" t="s">
        <v>1699</v>
      </c>
      <c r="L147" s="182" t="s">
        <v>1699</v>
      </c>
      <c r="M147" s="182" t="s">
        <v>243</v>
      </c>
      <c r="N147" s="182" t="s">
        <v>243</v>
      </c>
      <c r="O147" s="182" t="s">
        <v>554</v>
      </c>
      <c r="P147" s="182" t="s">
        <v>643</v>
      </c>
      <c r="Q147" s="182" t="s">
        <v>1137</v>
      </c>
      <c r="R147" s="182" t="s">
        <v>623</v>
      </c>
      <c r="S147" s="182" t="s">
        <v>1699</v>
      </c>
      <c r="T147" s="182"/>
      <c r="U147" s="182"/>
      <c r="V147" s="182"/>
      <c r="W147" s="182" t="s">
        <v>484</v>
      </c>
      <c r="X147" s="182"/>
      <c r="Y147" s="182"/>
      <c r="Z147" s="182"/>
      <c r="AA147" s="182"/>
      <c r="AB147" s="182"/>
      <c r="AC147" s="182"/>
      <c r="AD147" s="182"/>
      <c r="AE147" s="182"/>
      <c r="AF147" s="182" t="s">
        <v>573</v>
      </c>
      <c r="AG147" s="182" t="s">
        <v>650</v>
      </c>
      <c r="AH147" s="182"/>
      <c r="AI147" s="182"/>
      <c r="AJ147" s="182"/>
      <c r="AK147" s="182" t="s">
        <v>485</v>
      </c>
      <c r="AL147" s="182" t="s">
        <v>1736</v>
      </c>
      <c r="AM147" s="182" t="s">
        <v>494</v>
      </c>
      <c r="AN147" s="182"/>
      <c r="AO147" s="182" t="s">
        <v>1699</v>
      </c>
      <c r="AP147" s="182" t="s">
        <v>243</v>
      </c>
      <c r="AQ147" s="182"/>
      <c r="AR147" s="182"/>
      <c r="AS147" s="182"/>
      <c r="AT147" s="182" t="s">
        <v>1737</v>
      </c>
      <c r="AU147" s="182" t="s">
        <v>560</v>
      </c>
      <c r="AV147" s="182"/>
      <c r="AW147" s="182" t="s">
        <v>1726</v>
      </c>
      <c r="AX147" s="182" t="s">
        <v>1703</v>
      </c>
      <c r="AY147" s="182" t="s">
        <v>1738</v>
      </c>
      <c r="AZ147" s="182" t="s">
        <v>1739</v>
      </c>
      <c r="BA147" s="182"/>
      <c r="BB147" s="182" t="s">
        <v>1729</v>
      </c>
      <c r="BC147" s="182"/>
      <c r="BD147" s="182"/>
      <c r="BE147" s="182" t="s">
        <v>1729</v>
      </c>
      <c r="BF147" s="182" t="s">
        <v>1737</v>
      </c>
      <c r="BG147" s="182"/>
      <c r="BH147" s="182" t="s">
        <v>1740</v>
      </c>
      <c r="BI147" s="182"/>
      <c r="BJ147" s="182"/>
      <c r="BK147" s="182" t="s">
        <v>1741</v>
      </c>
      <c r="BL147" s="182" t="s">
        <v>1124</v>
      </c>
      <c r="BM147" s="182" t="s">
        <v>1703</v>
      </c>
      <c r="BN147" s="182" t="s">
        <v>480</v>
      </c>
      <c r="BO147" s="182" t="s">
        <v>1703</v>
      </c>
      <c r="BP147" s="182"/>
      <c r="BQ147" s="182"/>
      <c r="BR147" s="182" t="s">
        <v>1707</v>
      </c>
      <c r="BS147" s="182" t="s">
        <v>1742</v>
      </c>
      <c r="BT147" s="182"/>
      <c r="BU147" s="182"/>
      <c r="BV147" s="182" t="s">
        <v>1703</v>
      </c>
      <c r="BW147" s="182"/>
      <c r="BX147" s="182" t="s">
        <v>571</v>
      </c>
      <c r="BY147" s="182"/>
      <c r="BZ147" s="182" t="s">
        <v>1703</v>
      </c>
      <c r="CA147" s="182" t="s">
        <v>1217</v>
      </c>
      <c r="CB147" s="182" t="s">
        <v>634</v>
      </c>
      <c r="CC147" s="182"/>
      <c r="CD147" s="182" t="s">
        <v>1703</v>
      </c>
      <c r="CE147" s="182"/>
      <c r="CF147" s="182" t="s">
        <v>1290</v>
      </c>
      <c r="CG147" s="182" t="s">
        <v>531</v>
      </c>
      <c r="CH147" s="182"/>
      <c r="CI147" s="182" t="s">
        <v>1743</v>
      </c>
      <c r="CJ147" s="182" t="s">
        <v>1744</v>
      </c>
      <c r="CK147" s="182"/>
      <c r="CL147" s="182"/>
      <c r="CM147" s="182" t="s">
        <v>1745</v>
      </c>
      <c r="CN147" s="182" t="s">
        <v>491</v>
      </c>
      <c r="CO147" s="182" t="s">
        <v>562</v>
      </c>
      <c r="CP147" s="182" t="s">
        <v>1701</v>
      </c>
      <c r="CQ147" s="182" t="s">
        <v>1746</v>
      </c>
      <c r="CR147" s="182"/>
      <c r="CS147" s="182" t="s">
        <v>1124</v>
      </c>
      <c r="CT147" s="182" t="s">
        <v>1747</v>
      </c>
      <c r="CU147" s="182" t="s">
        <v>1748</v>
      </c>
      <c r="CV147" s="182" t="s">
        <v>548</v>
      </c>
      <c r="CW147" s="182"/>
      <c r="CX147" s="182" t="s">
        <v>561</v>
      </c>
      <c r="CY147" s="182" t="s">
        <v>243</v>
      </c>
      <c r="CZ147" s="182" t="s">
        <v>243</v>
      </c>
      <c r="DA147" s="182" t="s">
        <v>1124</v>
      </c>
      <c r="DB147" s="182" t="s">
        <v>650</v>
      </c>
      <c r="DC147" s="182" t="s">
        <v>650</v>
      </c>
      <c r="DD147" s="182" t="s">
        <v>650</v>
      </c>
      <c r="DE147" s="182"/>
      <c r="DF147" s="174">
        <v>4</v>
      </c>
      <c r="EE147" s="203">
        <v>2.3907999999999983</v>
      </c>
      <c r="EF147" s="174">
        <v>20</v>
      </c>
      <c r="HA147" s="174">
        <v>20</v>
      </c>
      <c r="HB147" s="197">
        <v>144</v>
      </c>
      <c r="HC147" s="194">
        <v>91</v>
      </c>
      <c r="HD147" s="238">
        <v>117</v>
      </c>
      <c r="HE147" s="236">
        <v>25</v>
      </c>
      <c r="HF147" s="183">
        <v>209</v>
      </c>
      <c r="HG147" s="193">
        <f t="shared" si="152"/>
        <v>204</v>
      </c>
      <c r="HH147" s="192" t="e">
        <f t="shared" si="153"/>
        <v>#REF!</v>
      </c>
      <c r="HI147" s="198">
        <v>25</v>
      </c>
      <c r="HJ147" s="185">
        <v>162</v>
      </c>
      <c r="HK147" s="174">
        <v>145</v>
      </c>
      <c r="HL147" s="174">
        <f t="shared" si="121"/>
        <v>650</v>
      </c>
      <c r="HM147" s="174">
        <f t="shared" si="122"/>
        <v>640</v>
      </c>
      <c r="HN147" s="174">
        <f t="shared" si="123"/>
        <v>505</v>
      </c>
      <c r="HO147" s="174">
        <f t="shared" si="124"/>
        <v>380</v>
      </c>
      <c r="HP147" s="174">
        <f t="shared" si="125"/>
        <v>265</v>
      </c>
      <c r="HQ147" s="174">
        <f t="shared" si="126"/>
        <v>255</v>
      </c>
      <c r="HR147" s="174">
        <f t="shared" si="127"/>
        <v>255</v>
      </c>
      <c r="HS147" s="174">
        <f t="shared" si="128"/>
        <v>245</v>
      </c>
      <c r="HT147" s="174">
        <f t="shared" si="129"/>
        <v>235</v>
      </c>
      <c r="HU147" s="174">
        <f t="shared" si="130"/>
        <v>495</v>
      </c>
      <c r="HV147" s="174">
        <f t="shared" si="131"/>
        <v>255</v>
      </c>
      <c r="HW147" s="174">
        <f t="shared" si="132"/>
        <v>245</v>
      </c>
      <c r="HX147" s="174">
        <f t="shared" si="133"/>
        <v>360</v>
      </c>
      <c r="HY147" s="174">
        <f t="shared" si="134"/>
        <v>235</v>
      </c>
      <c r="HZ147" s="174">
        <f t="shared" si="135"/>
        <v>225</v>
      </c>
      <c r="IA147" s="174">
        <f t="shared" si="136"/>
        <v>215</v>
      </c>
      <c r="IB147" s="174">
        <f t="shared" si="137"/>
        <v>350</v>
      </c>
      <c r="IC147" s="174">
        <f t="shared" si="138"/>
        <v>330</v>
      </c>
      <c r="ID147" s="174">
        <f t="shared" si="139"/>
        <v>205</v>
      </c>
      <c r="IE147" s="174">
        <f t="shared" si="140"/>
        <v>320</v>
      </c>
      <c r="IF147" s="174">
        <f t="shared" si="141"/>
        <v>205</v>
      </c>
      <c r="IG147" s="174">
        <f t="shared" si="142"/>
        <v>185</v>
      </c>
      <c r="IH147" s="174">
        <f t="shared" si="143"/>
        <v>175</v>
      </c>
      <c r="II147" s="174">
        <f t="shared" si="144"/>
        <v>155</v>
      </c>
      <c r="IJ147" s="174">
        <v>147</v>
      </c>
    </row>
    <row r="148" spans="1:244" ht="13.35" customHeight="1" x14ac:dyDescent="0.2">
      <c r="A148" s="183">
        <f t="shared" si="151"/>
        <v>147</v>
      </c>
      <c r="B148" s="184">
        <f t="shared" si="154"/>
        <v>104</v>
      </c>
      <c r="C148" s="183">
        <f t="shared" si="149"/>
        <v>3339</v>
      </c>
      <c r="E148" s="207"/>
      <c r="F148" s="182" t="s">
        <v>1749</v>
      </c>
      <c r="G148" s="182" t="s">
        <v>1750</v>
      </c>
      <c r="H148" s="182" t="s">
        <v>1751</v>
      </c>
      <c r="I148" s="182"/>
      <c r="J148" s="182"/>
      <c r="K148" s="182" t="s">
        <v>650</v>
      </c>
      <c r="L148" s="182"/>
      <c r="M148" s="182"/>
      <c r="N148" s="182" t="s">
        <v>619</v>
      </c>
      <c r="O148" s="182"/>
      <c r="P148" s="182" t="s">
        <v>1752</v>
      </c>
      <c r="Q148" s="182" t="s">
        <v>1752</v>
      </c>
      <c r="R148" s="182" t="s">
        <v>1699</v>
      </c>
      <c r="S148" s="182" t="s">
        <v>650</v>
      </c>
      <c r="T148" s="182"/>
      <c r="U148" s="182"/>
      <c r="V148" s="182"/>
      <c r="W148" s="182" t="s">
        <v>486</v>
      </c>
      <c r="X148" s="182"/>
      <c r="Y148" s="182"/>
      <c r="Z148" s="182"/>
      <c r="AA148" s="182"/>
      <c r="AB148" s="182"/>
      <c r="AC148" s="182"/>
      <c r="AD148" s="182"/>
      <c r="AE148" s="182"/>
      <c r="AF148" s="182"/>
      <c r="AG148" s="182"/>
      <c r="AH148" s="182"/>
      <c r="AI148" s="182"/>
      <c r="AJ148" s="182"/>
      <c r="AK148" s="182" t="s">
        <v>1699</v>
      </c>
      <c r="AL148" s="182" t="s">
        <v>485</v>
      </c>
      <c r="AM148" s="182" t="s">
        <v>619</v>
      </c>
      <c r="AN148" s="182"/>
      <c r="AO148" s="182" t="s">
        <v>650</v>
      </c>
      <c r="AP148" s="182" t="s">
        <v>619</v>
      </c>
      <c r="AQ148" s="182"/>
      <c r="AR148" s="182"/>
      <c r="AS148" s="182"/>
      <c r="AT148" s="182"/>
      <c r="AU148" s="182" t="s">
        <v>491</v>
      </c>
      <c r="AV148" s="182"/>
      <c r="AW148" s="182" t="s">
        <v>1703</v>
      </c>
      <c r="AX148" s="182"/>
      <c r="AY148" s="182"/>
      <c r="AZ148" s="182"/>
      <c r="BA148" s="182"/>
      <c r="BB148" s="182"/>
      <c r="BC148" s="182"/>
      <c r="BD148" s="182"/>
      <c r="BE148" s="182"/>
      <c r="BF148" s="182"/>
      <c r="BG148" s="182"/>
      <c r="BH148" s="182" t="s">
        <v>415</v>
      </c>
      <c r="BI148" s="182"/>
      <c r="BJ148" s="182"/>
      <c r="BK148" s="182" t="s">
        <v>1703</v>
      </c>
      <c r="BL148" s="182" t="s">
        <v>1703</v>
      </c>
      <c r="BM148" s="182" t="s">
        <v>1753</v>
      </c>
      <c r="BN148" s="182"/>
      <c r="BO148" s="182" t="s">
        <v>571</v>
      </c>
      <c r="BP148" s="182"/>
      <c r="BQ148" s="182"/>
      <c r="BR148" s="182"/>
      <c r="BS148" s="182" t="s">
        <v>1754</v>
      </c>
      <c r="BT148" s="182"/>
      <c r="BU148" s="182"/>
      <c r="BV148" s="182"/>
      <c r="BW148" s="182"/>
      <c r="BX148" s="182"/>
      <c r="BY148" s="182"/>
      <c r="BZ148" s="182"/>
      <c r="CA148" s="182" t="s">
        <v>1701</v>
      </c>
      <c r="CB148" s="182" t="s">
        <v>1290</v>
      </c>
      <c r="CC148" s="182"/>
      <c r="CD148" s="182" t="s">
        <v>682</v>
      </c>
      <c r="CE148" s="182"/>
      <c r="CF148" s="182" t="s">
        <v>1730</v>
      </c>
      <c r="CG148" s="182" t="s">
        <v>1137</v>
      </c>
      <c r="CH148" s="182"/>
      <c r="CI148" s="182" t="s">
        <v>1755</v>
      </c>
      <c r="CJ148" s="182" t="s">
        <v>1703</v>
      </c>
      <c r="CK148" s="182"/>
      <c r="CL148" s="182"/>
      <c r="CM148" s="182" t="s">
        <v>1756</v>
      </c>
      <c r="CN148" s="182" t="s">
        <v>1753</v>
      </c>
      <c r="CO148" s="182" t="s">
        <v>1703</v>
      </c>
      <c r="CP148" s="182"/>
      <c r="CQ148" s="182"/>
      <c r="CR148" s="182"/>
      <c r="CS148" s="182" t="s">
        <v>616</v>
      </c>
      <c r="CT148" s="182"/>
      <c r="CU148" s="182"/>
      <c r="CV148" s="182"/>
      <c r="CW148" s="182"/>
      <c r="CX148" s="182" t="s">
        <v>1757</v>
      </c>
      <c r="CY148" s="182"/>
      <c r="CZ148" s="182" t="s">
        <v>1703</v>
      </c>
      <c r="DA148" s="182" t="s">
        <v>616</v>
      </c>
      <c r="DB148" s="182" t="s">
        <v>570</v>
      </c>
      <c r="DC148" s="182" t="s">
        <v>243</v>
      </c>
      <c r="DD148" s="182" t="s">
        <v>485</v>
      </c>
      <c r="DE148" s="182"/>
      <c r="DF148" s="174">
        <v>5</v>
      </c>
      <c r="EE148" s="203">
        <v>2.4161999999999981</v>
      </c>
      <c r="EF148" s="174">
        <v>20</v>
      </c>
      <c r="HA148" s="174">
        <v>21</v>
      </c>
      <c r="HB148" s="197">
        <v>145</v>
      </c>
      <c r="HC148" s="194">
        <v>92</v>
      </c>
      <c r="HD148" s="238">
        <v>117.5</v>
      </c>
      <c r="HE148" s="236">
        <v>25</v>
      </c>
      <c r="HF148" s="183">
        <v>210</v>
      </c>
      <c r="HG148" s="193">
        <f t="shared" si="152"/>
        <v>205</v>
      </c>
      <c r="HH148" s="192" t="e">
        <f t="shared" si="153"/>
        <v>#REF!</v>
      </c>
      <c r="HI148" s="198">
        <v>25</v>
      </c>
      <c r="HJ148" s="185">
        <v>162.5</v>
      </c>
      <c r="HK148" s="174">
        <v>146</v>
      </c>
      <c r="HL148" s="174">
        <f t="shared" si="121"/>
        <v>654</v>
      </c>
      <c r="HM148" s="174">
        <f t="shared" si="122"/>
        <v>644</v>
      </c>
      <c r="HN148" s="174">
        <f t="shared" si="123"/>
        <v>508</v>
      </c>
      <c r="HO148" s="174">
        <f t="shared" si="124"/>
        <v>382</v>
      </c>
      <c r="HP148" s="174">
        <f t="shared" si="125"/>
        <v>266</v>
      </c>
      <c r="HQ148" s="174">
        <f t="shared" si="126"/>
        <v>256</v>
      </c>
      <c r="HR148" s="174">
        <f t="shared" si="127"/>
        <v>256</v>
      </c>
      <c r="HS148" s="174">
        <f t="shared" si="128"/>
        <v>246</v>
      </c>
      <c r="HT148" s="174">
        <f t="shared" si="129"/>
        <v>236</v>
      </c>
      <c r="HU148" s="174">
        <f t="shared" si="130"/>
        <v>498</v>
      </c>
      <c r="HV148" s="174">
        <f t="shared" si="131"/>
        <v>256</v>
      </c>
      <c r="HW148" s="174">
        <f t="shared" si="132"/>
        <v>246</v>
      </c>
      <c r="HX148" s="174">
        <f t="shared" si="133"/>
        <v>362</v>
      </c>
      <c r="HY148" s="174">
        <f t="shared" si="134"/>
        <v>236</v>
      </c>
      <c r="HZ148" s="174">
        <f t="shared" si="135"/>
        <v>226</v>
      </c>
      <c r="IA148" s="174">
        <f t="shared" si="136"/>
        <v>216</v>
      </c>
      <c r="IB148" s="174">
        <f t="shared" si="137"/>
        <v>352</v>
      </c>
      <c r="IC148" s="174">
        <f t="shared" si="138"/>
        <v>332</v>
      </c>
      <c r="ID148" s="174">
        <f t="shared" si="139"/>
        <v>206</v>
      </c>
      <c r="IE148" s="174">
        <f t="shared" si="140"/>
        <v>322</v>
      </c>
      <c r="IF148" s="174">
        <f t="shared" si="141"/>
        <v>206</v>
      </c>
      <c r="IG148" s="174">
        <f t="shared" si="142"/>
        <v>186</v>
      </c>
      <c r="IH148" s="174">
        <f t="shared" si="143"/>
        <v>176</v>
      </c>
      <c r="II148" s="174">
        <f t="shared" si="144"/>
        <v>156</v>
      </c>
      <c r="IJ148" s="174">
        <v>148</v>
      </c>
    </row>
    <row r="149" spans="1:244" ht="13.35" customHeight="1" x14ac:dyDescent="0.2">
      <c r="A149" s="183">
        <f t="shared" si="151"/>
        <v>148</v>
      </c>
      <c r="B149" s="184">
        <f t="shared" si="154"/>
        <v>106</v>
      </c>
      <c r="C149" s="183">
        <f t="shared" si="149"/>
        <v>3454</v>
      </c>
      <c r="E149" s="207"/>
      <c r="F149" s="182" t="s">
        <v>587</v>
      </c>
      <c r="G149" s="182"/>
      <c r="H149" s="182"/>
      <c r="I149" s="182"/>
      <c r="J149" s="182"/>
      <c r="K149" s="182"/>
      <c r="L149" s="182"/>
      <c r="M149" s="182"/>
      <c r="N149" s="182"/>
      <c r="O149" s="182"/>
      <c r="P149" s="182" t="s">
        <v>1758</v>
      </c>
      <c r="Q149" s="182" t="s">
        <v>1124</v>
      </c>
      <c r="R149" s="182" t="s">
        <v>650</v>
      </c>
      <c r="S149" s="182" t="s">
        <v>243</v>
      </c>
      <c r="T149" s="182"/>
      <c r="U149" s="182"/>
      <c r="V149" s="182"/>
      <c r="W149" s="182"/>
      <c r="X149" s="182"/>
      <c r="Y149" s="182"/>
      <c r="Z149" s="182"/>
      <c r="AA149" s="182"/>
      <c r="AB149" s="182"/>
      <c r="AC149" s="182"/>
      <c r="AD149" s="182"/>
      <c r="AE149" s="182"/>
      <c r="AF149" s="182"/>
      <c r="AG149" s="182"/>
      <c r="AH149" s="182"/>
      <c r="AI149" s="182"/>
      <c r="AJ149" s="182"/>
      <c r="AK149" s="182" t="s">
        <v>710</v>
      </c>
      <c r="AL149" s="182" t="s">
        <v>1759</v>
      </c>
      <c r="AM149" s="182" t="s">
        <v>1736</v>
      </c>
      <c r="AN149" s="182"/>
      <c r="AO149" s="182" t="s">
        <v>243</v>
      </c>
      <c r="AP149" s="182" t="s">
        <v>1703</v>
      </c>
      <c r="AQ149" s="182"/>
      <c r="AR149" s="182"/>
      <c r="AS149" s="182"/>
      <c r="AT149" s="182"/>
      <c r="AU149" s="182" t="s">
        <v>1753</v>
      </c>
      <c r="AV149" s="182"/>
      <c r="AW149" s="182"/>
      <c r="AX149" s="182"/>
      <c r="AY149" s="182"/>
      <c r="AZ149" s="182"/>
      <c r="BA149" s="182"/>
      <c r="BB149" s="182"/>
      <c r="BC149" s="182"/>
      <c r="BD149" s="182"/>
      <c r="BE149" s="182"/>
      <c r="BF149" s="182"/>
      <c r="BG149" s="182"/>
      <c r="BH149" s="182" t="s">
        <v>1129</v>
      </c>
      <c r="BI149" s="182"/>
      <c r="BJ149" s="182"/>
      <c r="BK149" s="182"/>
      <c r="BL149" s="182"/>
      <c r="BM149" s="182" t="s">
        <v>560</v>
      </c>
      <c r="BN149" s="182"/>
      <c r="BO149" s="182"/>
      <c r="BP149" s="182"/>
      <c r="BQ149" s="182"/>
      <c r="BR149" s="182"/>
      <c r="BS149" s="182"/>
      <c r="BT149" s="182"/>
      <c r="BU149" s="182"/>
      <c r="BV149" s="182"/>
      <c r="BW149" s="182"/>
      <c r="BX149" s="182"/>
      <c r="BY149" s="182"/>
      <c r="BZ149" s="182"/>
      <c r="CA149" s="182" t="s">
        <v>1703</v>
      </c>
      <c r="CB149" s="182"/>
      <c r="CC149" s="182"/>
      <c r="CD149" s="182" t="s">
        <v>1760</v>
      </c>
      <c r="CE149" s="182"/>
      <c r="CF149" s="182"/>
      <c r="CG149" s="182" t="s">
        <v>561</v>
      </c>
      <c r="CH149" s="182"/>
      <c r="CI149" s="182"/>
      <c r="CJ149" s="182" t="s">
        <v>571</v>
      </c>
      <c r="CK149" s="182"/>
      <c r="CL149" s="182"/>
      <c r="CM149" s="182"/>
      <c r="CN149" s="182"/>
      <c r="CO149" s="182" t="s">
        <v>1761</v>
      </c>
      <c r="CP149" s="182"/>
      <c r="CQ149" s="182"/>
      <c r="CR149" s="182"/>
      <c r="CS149" s="182"/>
      <c r="CT149" s="182"/>
      <c r="CU149" s="182"/>
      <c r="CV149" s="182"/>
      <c r="CW149" s="182"/>
      <c r="CX149" s="182" t="s">
        <v>1762</v>
      </c>
      <c r="CY149" s="182"/>
      <c r="CZ149" s="182" t="s">
        <v>619</v>
      </c>
      <c r="DA149" s="182"/>
      <c r="DB149" s="182"/>
      <c r="DC149" s="182"/>
      <c r="DD149" s="182"/>
      <c r="DE149" s="182"/>
      <c r="DF149" s="174">
        <v>6</v>
      </c>
      <c r="EE149" s="203">
        <v>2.441599999999998</v>
      </c>
      <c r="EF149" s="174">
        <v>20</v>
      </c>
      <c r="HA149" s="174">
        <v>22</v>
      </c>
      <c r="HB149" s="197">
        <v>146</v>
      </c>
      <c r="HC149" s="194">
        <v>92</v>
      </c>
      <c r="HD149" s="238">
        <v>118</v>
      </c>
      <c r="HE149" s="236">
        <v>25</v>
      </c>
      <c r="HF149" s="183">
        <v>211</v>
      </c>
      <c r="HG149" s="193">
        <f t="shared" si="152"/>
        <v>206</v>
      </c>
      <c r="HH149" s="192" t="e">
        <f t="shared" si="153"/>
        <v>#REF!</v>
      </c>
      <c r="HI149" s="198">
        <v>25</v>
      </c>
      <c r="HJ149" s="185">
        <v>163</v>
      </c>
      <c r="HK149" s="174">
        <v>147</v>
      </c>
      <c r="HL149" s="174">
        <f t="shared" si="121"/>
        <v>658</v>
      </c>
      <c r="HM149" s="174">
        <f t="shared" si="122"/>
        <v>648</v>
      </c>
      <c r="HN149" s="174">
        <f t="shared" si="123"/>
        <v>511</v>
      </c>
      <c r="HO149" s="174">
        <f t="shared" si="124"/>
        <v>384</v>
      </c>
      <c r="HP149" s="174">
        <f t="shared" si="125"/>
        <v>267</v>
      </c>
      <c r="HQ149" s="174">
        <f t="shared" si="126"/>
        <v>257</v>
      </c>
      <c r="HR149" s="174">
        <f t="shared" si="127"/>
        <v>257</v>
      </c>
      <c r="HS149" s="174">
        <f t="shared" si="128"/>
        <v>247</v>
      </c>
      <c r="HT149" s="174">
        <f t="shared" si="129"/>
        <v>237</v>
      </c>
      <c r="HU149" s="174">
        <f t="shared" si="130"/>
        <v>501</v>
      </c>
      <c r="HV149" s="174">
        <f t="shared" si="131"/>
        <v>257</v>
      </c>
      <c r="HW149" s="174">
        <f t="shared" si="132"/>
        <v>247</v>
      </c>
      <c r="HX149" s="174">
        <f t="shared" si="133"/>
        <v>364</v>
      </c>
      <c r="HY149" s="174">
        <f t="shared" si="134"/>
        <v>237</v>
      </c>
      <c r="HZ149" s="174">
        <f t="shared" si="135"/>
        <v>227</v>
      </c>
      <c r="IA149" s="174">
        <f t="shared" si="136"/>
        <v>217</v>
      </c>
      <c r="IB149" s="174">
        <f t="shared" si="137"/>
        <v>354</v>
      </c>
      <c r="IC149" s="174">
        <f t="shared" si="138"/>
        <v>334</v>
      </c>
      <c r="ID149" s="174">
        <f t="shared" si="139"/>
        <v>207</v>
      </c>
      <c r="IE149" s="174">
        <f t="shared" si="140"/>
        <v>324</v>
      </c>
      <c r="IF149" s="174">
        <f t="shared" si="141"/>
        <v>207</v>
      </c>
      <c r="IG149" s="174">
        <f t="shared" si="142"/>
        <v>187</v>
      </c>
      <c r="IH149" s="174">
        <f t="shared" si="143"/>
        <v>177</v>
      </c>
      <c r="II149" s="174">
        <f t="shared" si="144"/>
        <v>157</v>
      </c>
      <c r="IJ149" s="174">
        <v>149</v>
      </c>
    </row>
    <row r="150" spans="1:244" ht="13.35" customHeight="1" x14ac:dyDescent="0.2">
      <c r="A150" s="183">
        <f t="shared" si="151"/>
        <v>149</v>
      </c>
      <c r="B150" s="184">
        <f t="shared" si="154"/>
        <v>108</v>
      </c>
      <c r="C150" s="183">
        <f t="shared" si="149"/>
        <v>3571</v>
      </c>
      <c r="E150" s="207"/>
      <c r="F150" s="182" t="s">
        <v>599</v>
      </c>
      <c r="G150" s="182"/>
      <c r="H150" s="182"/>
      <c r="I150" s="182"/>
      <c r="J150" s="182"/>
      <c r="K150" s="182"/>
      <c r="L150" s="182"/>
      <c r="M150" s="182"/>
      <c r="N150" s="182"/>
      <c r="O150" s="182"/>
      <c r="P150" s="182"/>
      <c r="Q150" s="182" t="s">
        <v>1758</v>
      </c>
      <c r="R150" s="182"/>
      <c r="S150" s="182" t="s">
        <v>619</v>
      </c>
      <c r="T150" s="182"/>
      <c r="U150" s="182"/>
      <c r="V150" s="182"/>
      <c r="W150" s="182"/>
      <c r="X150" s="182"/>
      <c r="Y150" s="182"/>
      <c r="Z150" s="182"/>
      <c r="AA150" s="182"/>
      <c r="AB150" s="182"/>
      <c r="AC150" s="182"/>
      <c r="AD150" s="182"/>
      <c r="AE150" s="182"/>
      <c r="AF150" s="182"/>
      <c r="AG150" s="182"/>
      <c r="AH150" s="182"/>
      <c r="AI150" s="182"/>
      <c r="AJ150" s="182"/>
      <c r="AK150" s="182"/>
      <c r="AL150" s="182" t="s">
        <v>505</v>
      </c>
      <c r="AM150" s="182" t="s">
        <v>1763</v>
      </c>
      <c r="AN150" s="182"/>
      <c r="AO150" s="182" t="s">
        <v>1764</v>
      </c>
      <c r="AP150" s="182"/>
      <c r="AQ150" s="182"/>
      <c r="AR150" s="182"/>
      <c r="AS150" s="182"/>
      <c r="AT150" s="182"/>
      <c r="AU150" s="182"/>
      <c r="AV150" s="182"/>
      <c r="AW150" s="182"/>
      <c r="AX150" s="182"/>
      <c r="AY150" s="182"/>
      <c r="AZ150" s="182"/>
      <c r="BA150" s="182"/>
      <c r="BB150" s="182"/>
      <c r="BC150" s="182"/>
      <c r="BD150" s="182"/>
      <c r="BE150" s="182"/>
      <c r="BF150" s="182"/>
      <c r="BG150" s="182"/>
      <c r="BH150" s="182" t="s">
        <v>1703</v>
      </c>
      <c r="BI150" s="182"/>
      <c r="BJ150" s="182"/>
      <c r="BK150" s="182"/>
      <c r="BL150" s="182"/>
      <c r="BM150" s="182" t="s">
        <v>447</v>
      </c>
      <c r="BN150" s="182"/>
      <c r="BO150" s="182"/>
      <c r="BP150" s="182"/>
      <c r="BQ150" s="182"/>
      <c r="BR150" s="182"/>
      <c r="BS150" s="182"/>
      <c r="BT150" s="182"/>
      <c r="BU150" s="182"/>
      <c r="BV150" s="182"/>
      <c r="BW150" s="182"/>
      <c r="BX150" s="182"/>
      <c r="BY150" s="182"/>
      <c r="BZ150" s="182"/>
      <c r="CA150" s="182"/>
      <c r="CB150" s="182"/>
      <c r="CC150" s="182"/>
      <c r="CD150" s="182" t="s">
        <v>1765</v>
      </c>
      <c r="CE150" s="182"/>
      <c r="CF150" s="182"/>
      <c r="CG150" s="182" t="s">
        <v>1766</v>
      </c>
      <c r="CH150" s="182"/>
      <c r="CI150" s="182"/>
      <c r="CJ150" s="182" t="s">
        <v>1701</v>
      </c>
      <c r="CK150" s="182"/>
      <c r="CL150" s="182"/>
      <c r="CM150" s="182"/>
      <c r="CN150" s="182"/>
      <c r="CO150" s="182" t="s">
        <v>530</v>
      </c>
      <c r="CP150" s="182"/>
      <c r="CQ150" s="182"/>
      <c r="CR150" s="182"/>
      <c r="CS150" s="182"/>
      <c r="CT150" s="182"/>
      <c r="CU150" s="182"/>
      <c r="CV150" s="182"/>
      <c r="CW150" s="182"/>
      <c r="CX150" s="182"/>
      <c r="CY150" s="182"/>
      <c r="CZ150" s="182"/>
      <c r="DA150" s="182"/>
      <c r="DB150" s="182"/>
      <c r="DC150" s="182"/>
      <c r="DD150" s="182"/>
      <c r="DE150" s="182"/>
      <c r="DF150" s="174">
        <v>7</v>
      </c>
      <c r="EE150" s="203">
        <v>2.4669999999999979</v>
      </c>
      <c r="EF150" s="174">
        <v>20</v>
      </c>
      <c r="HA150" s="174">
        <v>23</v>
      </c>
      <c r="HB150" s="197">
        <v>147</v>
      </c>
      <c r="HC150" s="194">
        <v>93</v>
      </c>
      <c r="HD150" s="238">
        <v>118.5</v>
      </c>
      <c r="HE150" s="236">
        <v>25</v>
      </c>
      <c r="HF150" s="183">
        <v>212</v>
      </c>
      <c r="HG150" s="193">
        <f t="shared" si="152"/>
        <v>207</v>
      </c>
      <c r="HH150" s="192" t="e">
        <f t="shared" si="153"/>
        <v>#REF!</v>
      </c>
      <c r="HI150" s="198">
        <v>25</v>
      </c>
      <c r="HJ150" s="185">
        <v>163.5</v>
      </c>
      <c r="HK150" s="174">
        <v>148</v>
      </c>
      <c r="HL150" s="174">
        <f t="shared" si="121"/>
        <v>662</v>
      </c>
      <c r="HM150" s="174">
        <f t="shared" si="122"/>
        <v>652</v>
      </c>
      <c r="HN150" s="174">
        <f t="shared" si="123"/>
        <v>514</v>
      </c>
      <c r="HO150" s="174">
        <f t="shared" si="124"/>
        <v>386</v>
      </c>
      <c r="HP150" s="174">
        <f t="shared" si="125"/>
        <v>268</v>
      </c>
      <c r="HQ150" s="174">
        <f t="shared" si="126"/>
        <v>258</v>
      </c>
      <c r="HR150" s="174">
        <f t="shared" si="127"/>
        <v>258</v>
      </c>
      <c r="HS150" s="174">
        <f t="shared" si="128"/>
        <v>248</v>
      </c>
      <c r="HT150" s="174">
        <f t="shared" si="129"/>
        <v>238</v>
      </c>
      <c r="HU150" s="174">
        <f t="shared" si="130"/>
        <v>504</v>
      </c>
      <c r="HV150" s="174">
        <f t="shared" si="131"/>
        <v>258</v>
      </c>
      <c r="HW150" s="174">
        <f t="shared" si="132"/>
        <v>248</v>
      </c>
      <c r="HX150" s="174">
        <f t="shared" si="133"/>
        <v>366</v>
      </c>
      <c r="HY150" s="174">
        <f t="shared" si="134"/>
        <v>238</v>
      </c>
      <c r="HZ150" s="174">
        <f t="shared" si="135"/>
        <v>228</v>
      </c>
      <c r="IA150" s="174">
        <f t="shared" si="136"/>
        <v>218</v>
      </c>
      <c r="IB150" s="174">
        <f t="shared" si="137"/>
        <v>356</v>
      </c>
      <c r="IC150" s="174">
        <f t="shared" si="138"/>
        <v>336</v>
      </c>
      <c r="ID150" s="174">
        <f t="shared" si="139"/>
        <v>208</v>
      </c>
      <c r="IE150" s="174">
        <f t="shared" si="140"/>
        <v>326</v>
      </c>
      <c r="IF150" s="174">
        <f t="shared" si="141"/>
        <v>208</v>
      </c>
      <c r="IG150" s="174">
        <f t="shared" si="142"/>
        <v>188</v>
      </c>
      <c r="IH150" s="174">
        <f t="shared" si="143"/>
        <v>178</v>
      </c>
      <c r="II150" s="174">
        <f t="shared" si="144"/>
        <v>158</v>
      </c>
      <c r="IJ150" s="174">
        <v>150</v>
      </c>
    </row>
    <row r="151" spans="1:244" ht="13.35" customHeight="1" x14ac:dyDescent="0.2">
      <c r="A151" s="183">
        <f t="shared" si="151"/>
        <v>150</v>
      </c>
      <c r="B151" s="184">
        <f t="shared" si="154"/>
        <v>110</v>
      </c>
      <c r="C151" s="183">
        <f t="shared" si="149"/>
        <v>3690</v>
      </c>
      <c r="E151" s="207"/>
      <c r="F151" s="182"/>
      <c r="G151" s="182"/>
      <c r="H151" s="182"/>
      <c r="I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182"/>
      <c r="AE151" s="182"/>
      <c r="AF151" s="182"/>
      <c r="AG151" s="182"/>
      <c r="AH151" s="182"/>
      <c r="AI151" s="182"/>
      <c r="AJ151" s="182"/>
      <c r="AK151" s="182"/>
      <c r="AL151" s="182"/>
      <c r="AM151" s="182" t="s">
        <v>505</v>
      </c>
      <c r="AN151" s="182"/>
      <c r="AO151" s="182"/>
      <c r="AP151" s="182"/>
      <c r="AQ151" s="182"/>
      <c r="AR151" s="182"/>
      <c r="AS151" s="182"/>
      <c r="AT151" s="182"/>
      <c r="AU151" s="182"/>
      <c r="AV151" s="182"/>
      <c r="AW151" s="182"/>
      <c r="AX151" s="182"/>
      <c r="AY151" s="182"/>
      <c r="AZ151" s="182"/>
      <c r="BA151" s="182"/>
      <c r="BB151" s="182"/>
      <c r="BC151" s="182"/>
      <c r="BD151" s="182"/>
      <c r="BE151" s="182"/>
      <c r="BF151" s="182"/>
      <c r="BG151" s="182"/>
      <c r="BH151" s="182"/>
      <c r="BI151" s="182"/>
      <c r="BJ151" s="182"/>
      <c r="BK151" s="182"/>
      <c r="BL151" s="182"/>
      <c r="BM151" s="182" t="s">
        <v>1384</v>
      </c>
      <c r="BN151" s="182"/>
      <c r="BO151" s="182"/>
      <c r="BP151" s="182"/>
      <c r="BQ151" s="182"/>
      <c r="BR151" s="182"/>
      <c r="BS151" s="182"/>
      <c r="BT151" s="182"/>
      <c r="BU151" s="182"/>
      <c r="BV151" s="182"/>
      <c r="BW151" s="182"/>
      <c r="BX151" s="182"/>
      <c r="BY151" s="182"/>
      <c r="BZ151" s="182"/>
      <c r="CA151" s="182"/>
      <c r="CB151" s="182"/>
      <c r="CC151" s="182"/>
      <c r="CD151" s="182"/>
      <c r="CE151" s="182"/>
      <c r="CF151" s="182"/>
      <c r="CG151" s="182" t="s">
        <v>1703</v>
      </c>
      <c r="CH151" s="182"/>
      <c r="CI151" s="182"/>
      <c r="CJ151" s="182"/>
      <c r="CK151" s="182"/>
      <c r="CL151" s="182"/>
      <c r="CM151" s="182"/>
      <c r="CN151" s="182"/>
      <c r="CO151" s="182" t="s">
        <v>1135</v>
      </c>
      <c r="CP151" s="182"/>
      <c r="CQ151" s="182"/>
      <c r="CR151" s="182"/>
      <c r="CS151" s="182"/>
      <c r="CT151" s="182"/>
      <c r="CU151" s="182"/>
      <c r="CV151" s="182"/>
      <c r="CW151" s="182"/>
      <c r="CX151" s="182"/>
      <c r="CY151" s="182"/>
      <c r="CZ151" s="182"/>
      <c r="DA151" s="182"/>
      <c r="DB151" s="182"/>
      <c r="DC151" s="182"/>
      <c r="DD151" s="182"/>
      <c r="DE151" s="182"/>
      <c r="DF151" s="174">
        <v>8</v>
      </c>
      <c r="EE151" s="203">
        <v>2.4923999999999977</v>
      </c>
      <c r="EF151" s="174">
        <v>20</v>
      </c>
      <c r="HA151" s="174">
        <v>24</v>
      </c>
      <c r="HB151" s="197">
        <v>148</v>
      </c>
      <c r="HC151" s="194">
        <v>93</v>
      </c>
      <c r="HD151" s="238">
        <v>119</v>
      </c>
      <c r="HE151" s="236">
        <v>25</v>
      </c>
      <c r="HF151" s="183">
        <v>213</v>
      </c>
      <c r="HG151" s="193">
        <f t="shared" si="152"/>
        <v>208</v>
      </c>
      <c r="HH151" s="192" t="e">
        <f t="shared" si="153"/>
        <v>#REF!</v>
      </c>
      <c r="HI151" s="198">
        <v>25</v>
      </c>
      <c r="HJ151" s="185">
        <v>164</v>
      </c>
      <c r="HK151" s="174">
        <v>149</v>
      </c>
      <c r="HL151" s="174">
        <f t="shared" si="121"/>
        <v>666</v>
      </c>
      <c r="HM151" s="174">
        <f t="shared" si="122"/>
        <v>656</v>
      </c>
      <c r="HN151" s="174">
        <f t="shared" si="123"/>
        <v>517</v>
      </c>
      <c r="HO151" s="174">
        <f t="shared" si="124"/>
        <v>388</v>
      </c>
      <c r="HP151" s="174">
        <f t="shared" si="125"/>
        <v>269</v>
      </c>
      <c r="HQ151" s="174">
        <f t="shared" si="126"/>
        <v>259</v>
      </c>
      <c r="HR151" s="174">
        <f t="shared" si="127"/>
        <v>259</v>
      </c>
      <c r="HS151" s="174">
        <f t="shared" si="128"/>
        <v>249</v>
      </c>
      <c r="HT151" s="174">
        <f t="shared" si="129"/>
        <v>239</v>
      </c>
      <c r="HU151" s="174">
        <f t="shared" si="130"/>
        <v>507</v>
      </c>
      <c r="HV151" s="174">
        <f t="shared" si="131"/>
        <v>259</v>
      </c>
      <c r="HW151" s="174">
        <f t="shared" si="132"/>
        <v>249</v>
      </c>
      <c r="HX151" s="174">
        <f t="shared" si="133"/>
        <v>368</v>
      </c>
      <c r="HY151" s="174">
        <f t="shared" si="134"/>
        <v>239</v>
      </c>
      <c r="HZ151" s="174">
        <f t="shared" si="135"/>
        <v>229</v>
      </c>
      <c r="IA151" s="174">
        <f t="shared" si="136"/>
        <v>219</v>
      </c>
      <c r="IB151" s="174">
        <f t="shared" si="137"/>
        <v>358</v>
      </c>
      <c r="IC151" s="174">
        <f t="shared" si="138"/>
        <v>338</v>
      </c>
      <c r="ID151" s="174">
        <f t="shared" si="139"/>
        <v>209</v>
      </c>
      <c r="IE151" s="174">
        <f t="shared" si="140"/>
        <v>328</v>
      </c>
      <c r="IF151" s="174">
        <f t="shared" si="141"/>
        <v>209</v>
      </c>
      <c r="IG151" s="174">
        <f t="shared" si="142"/>
        <v>189</v>
      </c>
      <c r="IH151" s="174">
        <f t="shared" si="143"/>
        <v>179</v>
      </c>
      <c r="II151" s="174">
        <f t="shared" si="144"/>
        <v>159</v>
      </c>
      <c r="IJ151" s="174">
        <v>151</v>
      </c>
    </row>
    <row r="152" spans="1:244" ht="13.35" customHeight="1" x14ac:dyDescent="0.2">
      <c r="A152" s="183">
        <v>1</v>
      </c>
      <c r="B152" s="183">
        <f>A152+1</f>
        <v>2</v>
      </c>
      <c r="C152" s="183">
        <f>B152+1</f>
        <v>3</v>
      </c>
      <c r="E152" s="207"/>
      <c r="F152" s="182"/>
      <c r="G152" s="182"/>
      <c r="H152" s="182"/>
      <c r="I152" s="182"/>
      <c r="J152" s="182"/>
      <c r="K152" s="182"/>
      <c r="L152" s="182"/>
      <c r="M152" s="182"/>
      <c r="N152" s="182"/>
      <c r="O152" s="182"/>
      <c r="P152" s="182"/>
      <c r="Q152" s="182"/>
      <c r="R152" s="182"/>
      <c r="S152" s="182"/>
      <c r="T152" s="182"/>
      <c r="U152" s="182"/>
      <c r="V152" s="182"/>
      <c r="W152" s="182"/>
      <c r="X152" s="182"/>
      <c r="Y152" s="182"/>
      <c r="Z152" s="182"/>
      <c r="AA152" s="182"/>
      <c r="AB152" s="182"/>
      <c r="AC152" s="182"/>
      <c r="AD152" s="182"/>
      <c r="AE152" s="182"/>
      <c r="AF152" s="182"/>
      <c r="AG152" s="182"/>
      <c r="AH152" s="182"/>
      <c r="AI152" s="182"/>
      <c r="AJ152" s="182"/>
      <c r="AK152" s="182"/>
      <c r="AL152" s="182"/>
      <c r="AM152" s="182"/>
      <c r="AN152" s="182"/>
      <c r="AO152" s="182"/>
      <c r="AP152" s="182"/>
      <c r="AQ152" s="182"/>
      <c r="AR152" s="182"/>
      <c r="AS152" s="182" t="s">
        <v>1767</v>
      </c>
      <c r="AT152" s="182" t="s">
        <v>1768</v>
      </c>
      <c r="AU152" s="182" t="s">
        <v>1769</v>
      </c>
      <c r="AV152" s="182" t="s">
        <v>1770</v>
      </c>
      <c r="AW152" s="182" t="s">
        <v>248</v>
      </c>
      <c r="AX152" s="182" t="s">
        <v>1771</v>
      </c>
      <c r="AY152" s="182" t="s">
        <v>1772</v>
      </c>
      <c r="AZ152" s="182" t="s">
        <v>1773</v>
      </c>
      <c r="BA152" s="182" t="s">
        <v>1774</v>
      </c>
      <c r="BB152" s="182" t="s">
        <v>1775</v>
      </c>
      <c r="BC152" s="182" t="s">
        <v>1768</v>
      </c>
      <c r="BD152" s="182" t="s">
        <v>1776</v>
      </c>
      <c r="BE152" s="182" t="s">
        <v>1777</v>
      </c>
      <c r="BF152" s="182" t="s">
        <v>1778</v>
      </c>
      <c r="BG152" s="182" t="s">
        <v>1776</v>
      </c>
      <c r="BH152" s="182" t="s">
        <v>1769</v>
      </c>
      <c r="BI152" s="182" t="s">
        <v>1779</v>
      </c>
      <c r="BJ152" s="182" t="s">
        <v>248</v>
      </c>
      <c r="BK152" s="182" t="s">
        <v>248</v>
      </c>
      <c r="BL152" s="182" t="s">
        <v>1780</v>
      </c>
      <c r="BM152" s="182" t="s">
        <v>1781</v>
      </c>
      <c r="BN152" s="182" t="s">
        <v>1774</v>
      </c>
      <c r="BO152" s="182" t="s">
        <v>1782</v>
      </c>
      <c r="BP152" s="182" t="s">
        <v>1774</v>
      </c>
      <c r="BQ152" s="182" t="s">
        <v>1774</v>
      </c>
      <c r="BR152" s="182" t="s">
        <v>1774</v>
      </c>
      <c r="BS152" s="182" t="s">
        <v>1774</v>
      </c>
      <c r="BT152" s="182" t="s">
        <v>248</v>
      </c>
      <c r="BU152" s="182" t="s">
        <v>248</v>
      </c>
      <c r="BV152" s="182" t="s">
        <v>1783</v>
      </c>
      <c r="BW152" s="182" t="s">
        <v>248</v>
      </c>
      <c r="BX152" s="182" t="s">
        <v>1782</v>
      </c>
      <c r="BY152" s="182" t="s">
        <v>248</v>
      </c>
      <c r="BZ152" s="182" t="s">
        <v>1784</v>
      </c>
      <c r="CA152" s="182" t="s">
        <v>1785</v>
      </c>
      <c r="CB152" s="182" t="s">
        <v>248</v>
      </c>
      <c r="CC152" s="182" t="s">
        <v>1774</v>
      </c>
      <c r="CD152" s="182" t="s">
        <v>1786</v>
      </c>
      <c r="CE152" s="182" t="s">
        <v>248</v>
      </c>
      <c r="CF152" s="182" t="s">
        <v>1774</v>
      </c>
      <c r="CG152" s="182" t="s">
        <v>1787</v>
      </c>
      <c r="CH152" s="182" t="s">
        <v>248</v>
      </c>
      <c r="CI152" s="182" t="s">
        <v>1768</v>
      </c>
      <c r="CJ152" s="182" t="s">
        <v>1788</v>
      </c>
      <c r="CK152" s="182" t="s">
        <v>248</v>
      </c>
      <c r="CL152" s="182" t="s">
        <v>1789</v>
      </c>
      <c r="CM152" s="182"/>
      <c r="CN152" s="182" t="s">
        <v>1790</v>
      </c>
      <c r="CO152" s="182" t="s">
        <v>605</v>
      </c>
      <c r="CP152" s="182" t="s">
        <v>1791</v>
      </c>
      <c r="CQ152" s="182" t="s">
        <v>1792</v>
      </c>
      <c r="CR152" s="182"/>
      <c r="CS152" s="182"/>
      <c r="CT152" s="182"/>
      <c r="CU152" s="182"/>
      <c r="CV152" s="182"/>
      <c r="CW152" s="182"/>
      <c r="CX152" s="182"/>
      <c r="CY152" s="182"/>
      <c r="CZ152" s="182"/>
      <c r="DA152" s="182"/>
      <c r="DB152" s="182"/>
      <c r="DC152" s="182"/>
      <c r="DD152" s="182"/>
      <c r="DE152" s="182"/>
      <c r="DF152" s="174">
        <v>9</v>
      </c>
      <c r="EE152" s="203">
        <v>2.5177999999999976</v>
      </c>
      <c r="EF152" s="174">
        <v>20</v>
      </c>
      <c r="HA152" s="174">
        <v>25</v>
      </c>
      <c r="HB152" s="197">
        <v>149</v>
      </c>
      <c r="HC152" s="194">
        <v>94</v>
      </c>
      <c r="HD152" s="238">
        <v>119.5</v>
      </c>
      <c r="HE152" s="236">
        <v>25</v>
      </c>
      <c r="HF152" s="183">
        <v>214</v>
      </c>
      <c r="HG152" s="193">
        <f t="shared" si="152"/>
        <v>209</v>
      </c>
      <c r="HH152" s="192" t="e">
        <f t="shared" si="153"/>
        <v>#REF!</v>
      </c>
      <c r="HI152" s="198">
        <v>25</v>
      </c>
      <c r="HJ152" s="185">
        <v>164.5</v>
      </c>
      <c r="HK152" s="182">
        <v>150</v>
      </c>
      <c r="HL152" s="174">
        <f t="shared" si="121"/>
        <v>670</v>
      </c>
      <c r="HM152" s="174">
        <f t="shared" si="122"/>
        <v>660</v>
      </c>
      <c r="HN152" s="174">
        <f t="shared" si="123"/>
        <v>520</v>
      </c>
      <c r="HO152" s="174">
        <f t="shared" si="124"/>
        <v>390</v>
      </c>
      <c r="HP152" s="174">
        <f t="shared" si="125"/>
        <v>270</v>
      </c>
      <c r="HQ152" s="174">
        <f t="shared" si="126"/>
        <v>260</v>
      </c>
      <c r="HR152" s="174">
        <f t="shared" si="127"/>
        <v>260</v>
      </c>
      <c r="HS152" s="174">
        <f t="shared" si="128"/>
        <v>250</v>
      </c>
      <c r="HT152" s="174">
        <f t="shared" si="129"/>
        <v>240</v>
      </c>
      <c r="HU152" s="174">
        <f t="shared" si="130"/>
        <v>510</v>
      </c>
      <c r="HV152" s="174">
        <f t="shared" si="131"/>
        <v>260</v>
      </c>
      <c r="HW152" s="174">
        <f t="shared" si="132"/>
        <v>250</v>
      </c>
      <c r="HX152" s="174">
        <f t="shared" si="133"/>
        <v>370</v>
      </c>
      <c r="HY152" s="174">
        <f t="shared" si="134"/>
        <v>240</v>
      </c>
      <c r="HZ152" s="174">
        <f t="shared" si="135"/>
        <v>230</v>
      </c>
      <c r="IA152" s="174">
        <f t="shared" si="136"/>
        <v>220</v>
      </c>
      <c r="IB152" s="174">
        <f t="shared" si="137"/>
        <v>360</v>
      </c>
      <c r="IC152" s="174">
        <f t="shared" si="138"/>
        <v>340</v>
      </c>
      <c r="ID152" s="174">
        <f t="shared" si="139"/>
        <v>210</v>
      </c>
      <c r="IE152" s="174">
        <f t="shared" si="140"/>
        <v>330</v>
      </c>
      <c r="IF152" s="174">
        <f t="shared" si="141"/>
        <v>210</v>
      </c>
      <c r="IG152" s="174">
        <f t="shared" si="142"/>
        <v>190</v>
      </c>
      <c r="IH152" s="174">
        <f t="shared" si="143"/>
        <v>180</v>
      </c>
      <c r="II152" s="174">
        <f t="shared" si="144"/>
        <v>160</v>
      </c>
      <c r="IJ152" s="182">
        <v>152</v>
      </c>
    </row>
    <row r="153" spans="1:244" ht="13.35" customHeight="1" x14ac:dyDescent="0.2">
      <c r="E153" s="207"/>
      <c r="F153" s="182"/>
      <c r="G153" s="182"/>
      <c r="H153" s="182"/>
      <c r="I153" s="182"/>
      <c r="J153" s="182"/>
      <c r="K153" s="182"/>
      <c r="L153" s="182"/>
      <c r="M153" s="182"/>
      <c r="N153" s="182"/>
      <c r="O153" s="182"/>
      <c r="P153" s="182"/>
      <c r="Q153" s="182"/>
      <c r="R153" s="182"/>
      <c r="S153" s="182"/>
      <c r="T153" s="182"/>
      <c r="U153" s="182"/>
      <c r="V153" s="182"/>
      <c r="W153" s="182"/>
      <c r="X153" s="182"/>
      <c r="Y153" s="182"/>
      <c r="Z153" s="182"/>
      <c r="AA153" s="182"/>
      <c r="AB153" s="182"/>
      <c r="AC153" s="182"/>
      <c r="AD153" s="182"/>
      <c r="AE153" s="182"/>
      <c r="AF153" s="182"/>
      <c r="AG153" s="182"/>
      <c r="AH153" s="182"/>
      <c r="AI153" s="182"/>
      <c r="AJ153" s="182"/>
      <c r="AK153" s="182"/>
      <c r="AL153" s="182"/>
      <c r="AM153" s="182"/>
      <c r="AN153" s="182"/>
      <c r="AO153" s="182"/>
      <c r="AP153" s="182"/>
      <c r="AQ153" s="182"/>
      <c r="AR153" s="182"/>
      <c r="AS153" s="182"/>
      <c r="AT153" s="182"/>
      <c r="AU153" s="182" t="s">
        <v>1793</v>
      </c>
      <c r="AV153" s="182"/>
      <c r="AW153" s="182"/>
      <c r="AX153" s="182"/>
      <c r="AY153" s="182"/>
      <c r="AZ153" s="182" t="s">
        <v>1794</v>
      </c>
      <c r="BA153" s="182"/>
      <c r="BB153" s="182" t="s">
        <v>1795</v>
      </c>
      <c r="BC153" s="182"/>
      <c r="BD153" s="182"/>
      <c r="BE153" s="182" t="s">
        <v>1796</v>
      </c>
      <c r="BF153" s="182"/>
      <c r="BG153" s="182"/>
      <c r="BH153" s="182" t="s">
        <v>1774</v>
      </c>
      <c r="BI153" s="182"/>
      <c r="BJ153" s="182"/>
      <c r="BK153" s="182"/>
      <c r="BL153" s="182"/>
      <c r="BM153" s="182" t="s">
        <v>491</v>
      </c>
      <c r="BN153" s="182"/>
      <c r="BO153" s="182"/>
      <c r="BP153" s="182"/>
      <c r="BQ153" s="182"/>
      <c r="BR153" s="182"/>
      <c r="BS153" s="182"/>
      <c r="BT153" s="182"/>
      <c r="BU153" s="182"/>
      <c r="BV153" s="182" t="s">
        <v>1797</v>
      </c>
      <c r="BW153" s="182"/>
      <c r="BX153" s="182"/>
      <c r="BY153" s="182"/>
      <c r="BZ153" s="182"/>
      <c r="CA153" s="182" t="s">
        <v>1798</v>
      </c>
      <c r="CB153" s="182"/>
      <c r="CC153" s="182"/>
      <c r="CD153" s="182"/>
      <c r="CE153" s="182"/>
      <c r="CF153" s="182"/>
      <c r="CG153" s="182"/>
      <c r="CH153" s="182"/>
      <c r="CI153" s="182"/>
      <c r="CJ153" s="182"/>
      <c r="CK153" s="182"/>
      <c r="CL153" s="182"/>
      <c r="CM153" s="182"/>
      <c r="CN153" s="182"/>
      <c r="CO153" s="182" t="s">
        <v>1139</v>
      </c>
      <c r="CP153" s="182"/>
      <c r="CQ153" s="182"/>
      <c r="CR153" s="182"/>
      <c r="CS153" s="182"/>
      <c r="CT153" s="182"/>
      <c r="CU153" s="182"/>
      <c r="CV153" s="182"/>
      <c r="CW153" s="182"/>
      <c r="CX153" s="182"/>
      <c r="CY153" s="182"/>
      <c r="CZ153" s="182"/>
      <c r="DA153" s="182"/>
      <c r="DB153" s="182"/>
      <c r="DC153" s="182"/>
      <c r="DD153" s="182"/>
      <c r="DE153" s="182"/>
      <c r="DF153" s="174">
        <v>10</v>
      </c>
      <c r="EE153" s="203">
        <v>2.5431999999999975</v>
      </c>
      <c r="EF153" s="174">
        <v>25</v>
      </c>
      <c r="HB153" s="197">
        <v>150</v>
      </c>
      <c r="HC153" s="194">
        <v>94</v>
      </c>
      <c r="HD153" s="238">
        <v>120</v>
      </c>
      <c r="HE153" s="236">
        <v>25</v>
      </c>
      <c r="HF153" s="183">
        <v>215</v>
      </c>
      <c r="HG153" s="193">
        <f t="shared" si="152"/>
        <v>210</v>
      </c>
      <c r="HH153" s="192" t="e">
        <f t="shared" si="153"/>
        <v>#REF!</v>
      </c>
      <c r="HI153" s="198">
        <v>25</v>
      </c>
      <c r="HJ153" s="185">
        <v>165</v>
      </c>
      <c r="HK153" s="174">
        <v>151</v>
      </c>
      <c r="HL153" s="174">
        <f t="shared" si="121"/>
        <v>674</v>
      </c>
      <c r="HM153" s="174">
        <f t="shared" si="122"/>
        <v>664</v>
      </c>
      <c r="HN153" s="174">
        <f t="shared" si="123"/>
        <v>523</v>
      </c>
      <c r="HO153" s="174">
        <f t="shared" si="124"/>
        <v>392</v>
      </c>
      <c r="HP153" s="174">
        <f t="shared" si="125"/>
        <v>271</v>
      </c>
      <c r="HQ153" s="174">
        <f t="shared" si="126"/>
        <v>261</v>
      </c>
      <c r="HR153" s="174">
        <f t="shared" si="127"/>
        <v>261</v>
      </c>
      <c r="HS153" s="174">
        <f t="shared" si="128"/>
        <v>251</v>
      </c>
      <c r="HT153" s="174">
        <f t="shared" si="129"/>
        <v>241</v>
      </c>
      <c r="HU153" s="174">
        <f t="shared" si="130"/>
        <v>513</v>
      </c>
      <c r="HV153" s="174">
        <f t="shared" si="131"/>
        <v>261</v>
      </c>
      <c r="HW153" s="174">
        <f t="shared" si="132"/>
        <v>251</v>
      </c>
      <c r="HX153" s="174">
        <f t="shared" si="133"/>
        <v>372</v>
      </c>
      <c r="HY153" s="174">
        <f t="shared" si="134"/>
        <v>241</v>
      </c>
      <c r="HZ153" s="174">
        <f t="shared" si="135"/>
        <v>231</v>
      </c>
      <c r="IA153" s="174">
        <f t="shared" si="136"/>
        <v>221</v>
      </c>
      <c r="IB153" s="174">
        <f t="shared" si="137"/>
        <v>362</v>
      </c>
      <c r="IC153" s="174">
        <f t="shared" si="138"/>
        <v>342</v>
      </c>
      <c r="ID153" s="174">
        <f t="shared" si="139"/>
        <v>211</v>
      </c>
      <c r="IE153" s="174">
        <f t="shared" si="140"/>
        <v>332</v>
      </c>
      <c r="IF153" s="174">
        <f t="shared" si="141"/>
        <v>211</v>
      </c>
      <c r="IG153" s="174">
        <f t="shared" si="142"/>
        <v>191</v>
      </c>
      <c r="IH153" s="174">
        <f t="shared" si="143"/>
        <v>181</v>
      </c>
      <c r="II153" s="174">
        <f t="shared" si="144"/>
        <v>161</v>
      </c>
      <c r="IJ153" s="174">
        <v>153</v>
      </c>
    </row>
    <row r="154" spans="1:244" ht="13.35" customHeight="1" x14ac:dyDescent="0.2">
      <c r="A154" s="209" t="s">
        <v>1799</v>
      </c>
      <c r="B154" s="210">
        <f>VLOOKUP(Stats!$B$2,$ED$3:$EL$67,9,0)</f>
        <v>5311</v>
      </c>
      <c r="C154" s="211"/>
      <c r="E154" s="207"/>
      <c r="F154" s="182"/>
      <c r="G154" s="182"/>
      <c r="H154" s="182"/>
      <c r="I154" s="182"/>
      <c r="J154" s="182"/>
      <c r="K154" s="182"/>
      <c r="L154" s="182"/>
      <c r="M154" s="182"/>
      <c r="N154" s="182"/>
      <c r="O154" s="182"/>
      <c r="P154" s="182"/>
      <c r="Q154" s="182"/>
      <c r="R154" s="182"/>
      <c r="S154" s="182"/>
      <c r="T154" s="182"/>
      <c r="U154" s="182"/>
      <c r="V154" s="182"/>
      <c r="W154" s="182"/>
      <c r="X154" s="182"/>
      <c r="Y154" s="182"/>
      <c r="Z154" s="182"/>
      <c r="AA154" s="182"/>
      <c r="AB154" s="182"/>
      <c r="AC154" s="182"/>
      <c r="AD154" s="182"/>
      <c r="AE154" s="182"/>
      <c r="AF154" s="182"/>
      <c r="AG154" s="182"/>
      <c r="AH154" s="182"/>
      <c r="AI154" s="182"/>
      <c r="AJ154" s="182"/>
      <c r="AK154" s="182"/>
      <c r="AL154" s="182"/>
      <c r="AM154" s="182"/>
      <c r="AN154" s="182"/>
      <c r="AO154" s="182"/>
      <c r="AP154" s="182"/>
      <c r="AQ154" s="182"/>
      <c r="AR154" s="182"/>
      <c r="AS154" s="182"/>
      <c r="AT154" s="182"/>
      <c r="AU154" s="182"/>
      <c r="AV154" s="182"/>
      <c r="AW154" s="182"/>
      <c r="AX154" s="182"/>
      <c r="AY154" s="182"/>
      <c r="AZ154" s="182"/>
      <c r="BA154" s="182"/>
      <c r="BB154" s="182"/>
      <c r="BC154" s="182"/>
      <c r="BD154" s="182"/>
      <c r="BE154" s="182"/>
      <c r="BF154" s="182"/>
      <c r="BG154" s="182"/>
      <c r="BH154" s="182"/>
      <c r="BI154" s="182"/>
      <c r="BJ154" s="182"/>
      <c r="BK154" s="182"/>
      <c r="BL154" s="182"/>
      <c r="BM154" s="182"/>
      <c r="BN154" s="182"/>
      <c r="BO154" s="182"/>
      <c r="BP154" s="182"/>
      <c r="BQ154" s="182"/>
      <c r="BR154" s="182"/>
      <c r="BS154" s="182"/>
      <c r="BT154" s="182"/>
      <c r="BU154" s="182"/>
      <c r="BV154" s="182"/>
      <c r="BW154" s="182"/>
      <c r="BX154" s="182"/>
      <c r="BY154" s="182"/>
      <c r="BZ154" s="182"/>
      <c r="CA154" s="182"/>
      <c r="CB154" s="182"/>
      <c r="CC154" s="182"/>
      <c r="CD154" s="182"/>
      <c r="CE154" s="182"/>
      <c r="CF154" s="182"/>
      <c r="CG154" s="182"/>
      <c r="CH154" s="182"/>
      <c r="CI154" s="182"/>
      <c r="CJ154" s="182"/>
      <c r="CK154" s="182"/>
      <c r="CL154" s="182"/>
      <c r="CM154" s="182"/>
      <c r="CN154" s="182"/>
      <c r="CO154" s="182" t="s">
        <v>1800</v>
      </c>
      <c r="CP154" s="182"/>
      <c r="CQ154" s="182"/>
      <c r="CR154" s="182"/>
      <c r="CS154" s="182"/>
      <c r="CT154" s="182"/>
      <c r="CU154" s="182"/>
      <c r="CV154" s="182"/>
      <c r="CW154" s="182"/>
      <c r="CX154" s="182"/>
      <c r="CY154" s="182"/>
      <c r="CZ154" s="182"/>
      <c r="DA154" s="182"/>
      <c r="DB154" s="182"/>
      <c r="DC154" s="182"/>
      <c r="DD154" s="182"/>
      <c r="DE154" s="182"/>
      <c r="DF154" s="174">
        <v>11</v>
      </c>
      <c r="EE154" s="203">
        <v>2.5685999999999978</v>
      </c>
      <c r="EF154" s="174">
        <v>25</v>
      </c>
      <c r="HB154" s="197">
        <v>151</v>
      </c>
      <c r="HC154" s="194">
        <v>95</v>
      </c>
      <c r="HD154" s="238">
        <v>120.5</v>
      </c>
      <c r="HE154" s="236">
        <v>25</v>
      </c>
      <c r="HF154" s="183">
        <v>216</v>
      </c>
      <c r="HG154" s="193">
        <f t="shared" si="152"/>
        <v>211</v>
      </c>
      <c r="HH154" s="192" t="e">
        <f t="shared" si="153"/>
        <v>#REF!</v>
      </c>
      <c r="HI154" s="198">
        <v>25</v>
      </c>
      <c r="HJ154" s="185">
        <v>165.5</v>
      </c>
      <c r="HK154" s="174">
        <v>152</v>
      </c>
      <c r="HL154" s="174">
        <f t="shared" si="121"/>
        <v>678</v>
      </c>
      <c r="HM154" s="174">
        <f t="shared" si="122"/>
        <v>668</v>
      </c>
      <c r="HN154" s="174">
        <f t="shared" si="123"/>
        <v>526</v>
      </c>
      <c r="HO154" s="174">
        <f t="shared" si="124"/>
        <v>394</v>
      </c>
      <c r="HP154" s="174">
        <f t="shared" si="125"/>
        <v>272</v>
      </c>
      <c r="HQ154" s="174">
        <f t="shared" si="126"/>
        <v>262</v>
      </c>
      <c r="HR154" s="174">
        <f t="shared" si="127"/>
        <v>262</v>
      </c>
      <c r="HS154" s="174">
        <f t="shared" si="128"/>
        <v>252</v>
      </c>
      <c r="HT154" s="174">
        <f t="shared" si="129"/>
        <v>242</v>
      </c>
      <c r="HU154" s="174">
        <f t="shared" si="130"/>
        <v>516</v>
      </c>
      <c r="HV154" s="174">
        <f t="shared" si="131"/>
        <v>262</v>
      </c>
      <c r="HW154" s="174">
        <f t="shared" si="132"/>
        <v>252</v>
      </c>
      <c r="HX154" s="174">
        <f t="shared" si="133"/>
        <v>374</v>
      </c>
      <c r="HY154" s="174">
        <f t="shared" si="134"/>
        <v>242</v>
      </c>
      <c r="HZ154" s="174">
        <f t="shared" si="135"/>
        <v>232</v>
      </c>
      <c r="IA154" s="174">
        <f t="shared" si="136"/>
        <v>222</v>
      </c>
      <c r="IB154" s="174">
        <f t="shared" si="137"/>
        <v>364</v>
      </c>
      <c r="IC154" s="174">
        <f t="shared" si="138"/>
        <v>344</v>
      </c>
      <c r="ID154" s="174">
        <f t="shared" si="139"/>
        <v>212</v>
      </c>
      <c r="IE154" s="174">
        <f t="shared" si="140"/>
        <v>334</v>
      </c>
      <c r="IF154" s="174">
        <f t="shared" si="141"/>
        <v>212</v>
      </c>
      <c r="IG154" s="174">
        <f t="shared" si="142"/>
        <v>192</v>
      </c>
      <c r="IH154" s="174">
        <f t="shared" si="143"/>
        <v>182</v>
      </c>
      <c r="II154" s="174">
        <f t="shared" si="144"/>
        <v>162</v>
      </c>
      <c r="IJ154" s="174">
        <v>154</v>
      </c>
    </row>
    <row r="155" spans="1:244" ht="13.35" customHeight="1" x14ac:dyDescent="0.2">
      <c r="A155" s="212" t="s">
        <v>1801</v>
      </c>
      <c r="B155" s="174" t="e">
        <f>VLOOKUP(Stats!$B$2,$ED$3:$EL$67,$C$156,0)</f>
        <v>#REF!</v>
      </c>
      <c r="C155" s="213"/>
      <c r="E155" s="207"/>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2"/>
      <c r="AG155" s="182"/>
      <c r="AH155" s="182"/>
      <c r="AI155" s="182"/>
      <c r="AJ155" s="182"/>
      <c r="AK155" s="182"/>
      <c r="AL155" s="182"/>
      <c r="AM155" s="182"/>
      <c r="AN155" s="182"/>
      <c r="AO155" s="182"/>
      <c r="AP155" s="182"/>
      <c r="AQ155" s="182"/>
      <c r="AR155" s="182"/>
      <c r="AS155" s="182"/>
      <c r="AT155" s="182"/>
      <c r="AU155" s="182"/>
      <c r="AV155" s="182"/>
      <c r="AW155" s="182"/>
      <c r="AX155" s="182"/>
      <c r="AY155" s="182"/>
      <c r="AZ155" s="182"/>
      <c r="BA155" s="182"/>
      <c r="BB155" s="182"/>
      <c r="BC155" s="182"/>
      <c r="BD155" s="182"/>
      <c r="BE155" s="182"/>
      <c r="BF155" s="182"/>
      <c r="BG155" s="182"/>
      <c r="BH155" s="182"/>
      <c r="BI155" s="182"/>
      <c r="BJ155" s="182"/>
      <c r="BK155" s="182"/>
      <c r="BL155" s="182"/>
      <c r="BM155" s="182"/>
      <c r="BN155" s="182"/>
      <c r="BO155" s="182"/>
      <c r="BP155" s="182"/>
      <c r="BQ155" s="182"/>
      <c r="BR155" s="182"/>
      <c r="BS155" s="182"/>
      <c r="BT155" s="182"/>
      <c r="BU155" s="182"/>
      <c r="BV155" s="182"/>
      <c r="BW155" s="182"/>
      <c r="BX155" s="182"/>
      <c r="BY155" s="182"/>
      <c r="BZ155" s="182"/>
      <c r="CA155" s="182"/>
      <c r="CB155" s="182"/>
      <c r="CC155" s="182"/>
      <c r="CD155" s="182"/>
      <c r="CE155" s="182"/>
      <c r="CF155" s="182"/>
      <c r="CG155" s="182"/>
      <c r="CH155" s="182"/>
      <c r="CI155" s="182"/>
      <c r="CJ155" s="182"/>
      <c r="CK155" s="182"/>
      <c r="CL155" s="182"/>
      <c r="CM155" s="182"/>
      <c r="CN155" s="182"/>
      <c r="CO155" s="182" t="s">
        <v>1802</v>
      </c>
      <c r="CP155" s="182"/>
      <c r="CQ155" s="182"/>
      <c r="CR155" s="182"/>
      <c r="CS155" s="182"/>
      <c r="CT155" s="182"/>
      <c r="CU155" s="182"/>
      <c r="CV155" s="182"/>
      <c r="CW155" s="182"/>
      <c r="CX155" s="182"/>
      <c r="CY155" s="182"/>
      <c r="CZ155" s="182"/>
      <c r="DA155" s="182"/>
      <c r="DB155" s="182"/>
      <c r="DC155" s="182"/>
      <c r="DD155" s="182"/>
      <c r="DE155" s="182"/>
      <c r="DF155" s="174">
        <v>12</v>
      </c>
      <c r="EE155" s="203">
        <v>2.5939999999999981</v>
      </c>
      <c r="EF155" s="174">
        <v>25</v>
      </c>
      <c r="HB155" s="197">
        <v>152</v>
      </c>
      <c r="HC155" s="194">
        <v>95</v>
      </c>
      <c r="HD155" s="238">
        <v>121</v>
      </c>
      <c r="HE155" s="236">
        <v>25</v>
      </c>
      <c r="HF155" s="183">
        <v>217</v>
      </c>
      <c r="HG155" s="193">
        <f t="shared" si="152"/>
        <v>212</v>
      </c>
      <c r="HH155" s="192" t="e">
        <f t="shared" si="153"/>
        <v>#REF!</v>
      </c>
      <c r="HI155" s="198">
        <v>25</v>
      </c>
      <c r="HJ155" s="185">
        <v>166</v>
      </c>
      <c r="HK155" s="174">
        <v>153</v>
      </c>
      <c r="HL155" s="174">
        <f t="shared" si="121"/>
        <v>682</v>
      </c>
      <c r="HM155" s="174">
        <f t="shared" si="122"/>
        <v>672</v>
      </c>
      <c r="HN155" s="174">
        <f t="shared" si="123"/>
        <v>529</v>
      </c>
      <c r="HO155" s="174">
        <f t="shared" si="124"/>
        <v>396</v>
      </c>
      <c r="HP155" s="174">
        <f t="shared" si="125"/>
        <v>273</v>
      </c>
      <c r="HQ155" s="174">
        <f t="shared" si="126"/>
        <v>263</v>
      </c>
      <c r="HR155" s="174">
        <f t="shared" si="127"/>
        <v>263</v>
      </c>
      <c r="HS155" s="174">
        <f t="shared" si="128"/>
        <v>253</v>
      </c>
      <c r="HT155" s="174">
        <f t="shared" si="129"/>
        <v>243</v>
      </c>
      <c r="HU155" s="174">
        <f t="shared" si="130"/>
        <v>519</v>
      </c>
      <c r="HV155" s="174">
        <f t="shared" si="131"/>
        <v>263</v>
      </c>
      <c r="HW155" s="174">
        <f t="shared" si="132"/>
        <v>253</v>
      </c>
      <c r="HX155" s="174">
        <f t="shared" si="133"/>
        <v>376</v>
      </c>
      <c r="HY155" s="174">
        <f t="shared" si="134"/>
        <v>243</v>
      </c>
      <c r="HZ155" s="174">
        <f t="shared" si="135"/>
        <v>233</v>
      </c>
      <c r="IA155" s="174">
        <f t="shared" si="136"/>
        <v>223</v>
      </c>
      <c r="IB155" s="174">
        <f t="shared" si="137"/>
        <v>366</v>
      </c>
      <c r="IC155" s="174">
        <f t="shared" si="138"/>
        <v>346</v>
      </c>
      <c r="ID155" s="174">
        <f t="shared" si="139"/>
        <v>213</v>
      </c>
      <c r="IE155" s="174">
        <f t="shared" si="140"/>
        <v>336</v>
      </c>
      <c r="IF155" s="174">
        <f t="shared" si="141"/>
        <v>213</v>
      </c>
      <c r="IG155" s="174">
        <f t="shared" si="142"/>
        <v>193</v>
      </c>
      <c r="IH155" s="174">
        <f t="shared" si="143"/>
        <v>183</v>
      </c>
      <c r="II155" s="174">
        <f t="shared" si="144"/>
        <v>163</v>
      </c>
      <c r="IJ155" s="174">
        <v>155</v>
      </c>
    </row>
    <row r="156" spans="1:244" ht="13.35" customHeight="1" x14ac:dyDescent="0.2">
      <c r="A156" s="212" t="s">
        <v>242</v>
      </c>
      <c r="B156" s="174">
        <v>2</v>
      </c>
      <c r="C156" s="213" t="e">
        <f>VLOOKUP(Stats!$C$39,$A$156:$B$162,2,0)</f>
        <v>#N/A</v>
      </c>
      <c r="E156" s="207"/>
      <c r="EE156" s="203">
        <v>2.6193999999999984</v>
      </c>
      <c r="EF156" s="174">
        <v>25</v>
      </c>
      <c r="HB156" s="197">
        <v>153</v>
      </c>
      <c r="HC156" s="194">
        <v>96</v>
      </c>
      <c r="HD156" s="238">
        <v>121.5</v>
      </c>
      <c r="HE156" s="236">
        <v>25</v>
      </c>
      <c r="HF156" s="183">
        <v>218</v>
      </c>
      <c r="HG156" s="193">
        <f t="shared" si="152"/>
        <v>213</v>
      </c>
      <c r="HH156" s="192" t="e">
        <f t="shared" si="153"/>
        <v>#REF!</v>
      </c>
      <c r="HI156" s="198">
        <v>25</v>
      </c>
      <c r="HJ156" s="185">
        <v>166.5</v>
      </c>
      <c r="HK156" s="174">
        <v>154</v>
      </c>
      <c r="HL156" s="174">
        <f t="shared" si="121"/>
        <v>686</v>
      </c>
      <c r="HM156" s="174">
        <f t="shared" si="122"/>
        <v>676</v>
      </c>
      <c r="HN156" s="174">
        <f t="shared" si="123"/>
        <v>532</v>
      </c>
      <c r="HO156" s="174">
        <f t="shared" si="124"/>
        <v>398</v>
      </c>
      <c r="HP156" s="174">
        <f t="shared" si="125"/>
        <v>274</v>
      </c>
      <c r="HQ156" s="174">
        <f t="shared" si="126"/>
        <v>264</v>
      </c>
      <c r="HR156" s="174">
        <f t="shared" si="127"/>
        <v>264</v>
      </c>
      <c r="HS156" s="174">
        <f t="shared" si="128"/>
        <v>254</v>
      </c>
      <c r="HT156" s="174">
        <f t="shared" si="129"/>
        <v>244</v>
      </c>
      <c r="HU156" s="174">
        <f t="shared" si="130"/>
        <v>522</v>
      </c>
      <c r="HV156" s="174">
        <f t="shared" si="131"/>
        <v>264</v>
      </c>
      <c r="HW156" s="174">
        <f t="shared" si="132"/>
        <v>254</v>
      </c>
      <c r="HX156" s="174">
        <f t="shared" si="133"/>
        <v>378</v>
      </c>
      <c r="HY156" s="174">
        <f t="shared" si="134"/>
        <v>244</v>
      </c>
      <c r="HZ156" s="174">
        <f t="shared" si="135"/>
        <v>234</v>
      </c>
      <c r="IA156" s="174">
        <f t="shared" si="136"/>
        <v>224</v>
      </c>
      <c r="IB156" s="174">
        <f t="shared" si="137"/>
        <v>368</v>
      </c>
      <c r="IC156" s="174">
        <f t="shared" si="138"/>
        <v>348</v>
      </c>
      <c r="ID156" s="174">
        <f t="shared" si="139"/>
        <v>214</v>
      </c>
      <c r="IE156" s="174">
        <f t="shared" si="140"/>
        <v>338</v>
      </c>
      <c r="IF156" s="174">
        <f t="shared" si="141"/>
        <v>214</v>
      </c>
      <c r="IG156" s="174">
        <f t="shared" si="142"/>
        <v>194</v>
      </c>
      <c r="IH156" s="174">
        <f t="shared" si="143"/>
        <v>184</v>
      </c>
      <c r="II156" s="174">
        <f t="shared" si="144"/>
        <v>164</v>
      </c>
      <c r="IJ156" s="174">
        <v>156</v>
      </c>
    </row>
    <row r="157" spans="1:244" ht="13.35" customHeight="1" x14ac:dyDescent="0.2">
      <c r="A157" s="212" t="s">
        <v>243</v>
      </c>
      <c r="B157" s="174">
        <v>3</v>
      </c>
      <c r="C157" s="213"/>
      <c r="E157" s="207"/>
      <c r="EE157" s="203">
        <v>2.6447999999999983</v>
      </c>
      <c r="EF157" s="174">
        <v>25</v>
      </c>
      <c r="HB157" s="197">
        <v>154</v>
      </c>
      <c r="HC157" s="194">
        <v>96</v>
      </c>
      <c r="HD157" s="238">
        <v>122</v>
      </c>
      <c r="HE157" s="236">
        <v>25</v>
      </c>
      <c r="HF157" s="183">
        <v>219</v>
      </c>
      <c r="HG157" s="193">
        <f t="shared" si="152"/>
        <v>214</v>
      </c>
      <c r="HH157" s="192" t="e">
        <f t="shared" si="153"/>
        <v>#REF!</v>
      </c>
      <c r="HI157" s="198">
        <v>25</v>
      </c>
      <c r="HJ157" s="185">
        <v>167</v>
      </c>
      <c r="HK157" s="174">
        <v>155</v>
      </c>
      <c r="HL157" s="174">
        <f t="shared" si="121"/>
        <v>690</v>
      </c>
      <c r="HM157" s="174">
        <f t="shared" si="122"/>
        <v>680</v>
      </c>
      <c r="HN157" s="174">
        <f t="shared" si="123"/>
        <v>535</v>
      </c>
      <c r="HO157" s="174">
        <f t="shared" si="124"/>
        <v>400</v>
      </c>
      <c r="HP157" s="174">
        <f t="shared" si="125"/>
        <v>275</v>
      </c>
      <c r="HQ157" s="174">
        <f t="shared" si="126"/>
        <v>265</v>
      </c>
      <c r="HR157" s="174">
        <f t="shared" si="127"/>
        <v>265</v>
      </c>
      <c r="HS157" s="174">
        <f t="shared" si="128"/>
        <v>255</v>
      </c>
      <c r="HT157" s="174">
        <f t="shared" si="129"/>
        <v>245</v>
      </c>
      <c r="HU157" s="174">
        <f t="shared" si="130"/>
        <v>525</v>
      </c>
      <c r="HV157" s="174">
        <f t="shared" si="131"/>
        <v>265</v>
      </c>
      <c r="HW157" s="174">
        <f t="shared" si="132"/>
        <v>255</v>
      </c>
      <c r="HX157" s="174">
        <f t="shared" si="133"/>
        <v>380</v>
      </c>
      <c r="HY157" s="174">
        <f t="shared" si="134"/>
        <v>245</v>
      </c>
      <c r="HZ157" s="174">
        <f t="shared" si="135"/>
        <v>235</v>
      </c>
      <c r="IA157" s="174">
        <f t="shared" si="136"/>
        <v>225</v>
      </c>
      <c r="IB157" s="174">
        <f t="shared" si="137"/>
        <v>370</v>
      </c>
      <c r="IC157" s="174">
        <f t="shared" si="138"/>
        <v>350</v>
      </c>
      <c r="ID157" s="174">
        <f t="shared" si="139"/>
        <v>215</v>
      </c>
      <c r="IE157" s="174">
        <f t="shared" si="140"/>
        <v>340</v>
      </c>
      <c r="IF157" s="174">
        <f t="shared" si="141"/>
        <v>215</v>
      </c>
      <c r="IG157" s="174">
        <f t="shared" si="142"/>
        <v>195</v>
      </c>
      <c r="IH157" s="174">
        <f t="shared" si="143"/>
        <v>185</v>
      </c>
      <c r="II157" s="174">
        <f t="shared" si="144"/>
        <v>165</v>
      </c>
      <c r="IJ157" s="174">
        <v>157</v>
      </c>
    </row>
    <row r="158" spans="1:244" ht="13.35" customHeight="1" x14ac:dyDescent="0.2">
      <c r="A158" s="212" t="s">
        <v>244</v>
      </c>
      <c r="B158" s="174">
        <v>4</v>
      </c>
      <c r="C158" s="213"/>
      <c r="E158" s="207" t="s">
        <v>1151</v>
      </c>
      <c r="F158" s="174" t="s">
        <v>782</v>
      </c>
      <c r="G158" s="174" t="s">
        <v>783</v>
      </c>
      <c r="H158" s="174" t="s">
        <v>784</v>
      </c>
      <c r="I158" s="174" t="s">
        <v>785</v>
      </c>
      <c r="J158" s="174" t="s">
        <v>786</v>
      </c>
      <c r="K158" s="174" t="s">
        <v>787</v>
      </c>
      <c r="L158" s="174" t="s">
        <v>788</v>
      </c>
      <c r="M158" s="174" t="s">
        <v>789</v>
      </c>
      <c r="N158" s="174" t="s">
        <v>790</v>
      </c>
      <c r="O158" s="174" t="s">
        <v>791</v>
      </c>
      <c r="P158" s="174" t="s">
        <v>792</v>
      </c>
      <c r="Q158" s="174" t="s">
        <v>793</v>
      </c>
      <c r="R158" s="174" t="s">
        <v>794</v>
      </c>
      <c r="S158" s="174" t="s">
        <v>182</v>
      </c>
      <c r="T158" s="174" t="s">
        <v>795</v>
      </c>
      <c r="U158" s="174" t="s">
        <v>796</v>
      </c>
      <c r="V158" s="174" t="s">
        <v>797</v>
      </c>
      <c r="W158" s="174" t="s">
        <v>798</v>
      </c>
      <c r="X158" s="174" t="s">
        <v>799</v>
      </c>
      <c r="Y158" s="174" t="s">
        <v>800</v>
      </c>
      <c r="AA158" s="174" t="str">
        <f>AA144</f>
        <v>Arcanist (AC)</v>
      </c>
      <c r="AB158" s="174" t="str">
        <f>AB144</f>
        <v>Wizard (AC)</v>
      </c>
      <c r="AC158" s="174" t="str">
        <f>AC144</f>
        <v>Chaotic (AC)</v>
      </c>
      <c r="AD158" s="174" t="str">
        <f>AD144</f>
        <v>Magehunter (AC)</v>
      </c>
      <c r="AF158" s="174" t="s">
        <v>805</v>
      </c>
      <c r="AG158" s="174" t="s">
        <v>806</v>
      </c>
      <c r="AH158" s="174" t="s">
        <v>807</v>
      </c>
      <c r="AJ158" s="174" t="s">
        <v>808</v>
      </c>
      <c r="AK158" s="174" t="s">
        <v>809</v>
      </c>
      <c r="AL158" s="174" t="s">
        <v>810</v>
      </c>
      <c r="AM158" s="174" t="s">
        <v>811</v>
      </c>
      <c r="AO158" s="174" t="s">
        <v>812</v>
      </c>
      <c r="AP158" s="174" t="s">
        <v>813</v>
      </c>
      <c r="AQ158" s="174" t="s">
        <v>814</v>
      </c>
      <c r="AS158" s="174" t="s">
        <v>815</v>
      </c>
      <c r="AT158" s="174" t="s">
        <v>816</v>
      </c>
      <c r="AU158" s="174" t="s">
        <v>817</v>
      </c>
      <c r="AV158" s="174" t="s">
        <v>818</v>
      </c>
      <c r="AW158" s="174" t="s">
        <v>819</v>
      </c>
      <c r="AX158" s="174" t="s">
        <v>820</v>
      </c>
      <c r="AY158" s="174" t="s">
        <v>821</v>
      </c>
      <c r="AZ158" s="174" t="s">
        <v>822</v>
      </c>
      <c r="BA158" s="174" t="str">
        <f t="shared" ref="BA158:CQ158" si="156">BA144</f>
        <v>Priest of Culture</v>
      </c>
      <c r="BB158" s="174" t="str">
        <f t="shared" si="156"/>
        <v>Priest of Darkness, Night</v>
      </c>
      <c r="BC158" s="174" t="str">
        <f t="shared" si="156"/>
        <v>Priest of Dawn</v>
      </c>
      <c r="BD158" s="174" t="str">
        <f t="shared" si="156"/>
        <v>Priest of Death</v>
      </c>
      <c r="BE158" s="174" t="str">
        <f t="shared" si="156"/>
        <v>Priest of Disease</v>
      </c>
      <c r="BF158" s="174" t="str">
        <f t="shared" si="156"/>
        <v>Priest of Earth</v>
      </c>
      <c r="BG158" s="174" t="str">
        <f t="shared" si="156"/>
        <v>Priest of Fate, Destiny</v>
      </c>
      <c r="BH158" s="174" t="str">
        <f t="shared" si="156"/>
        <v>Priest of Fertility</v>
      </c>
      <c r="BI158" s="174" t="str">
        <f t="shared" si="156"/>
        <v>Priest of Fire</v>
      </c>
      <c r="BJ158" s="174" t="str">
        <f t="shared" si="156"/>
        <v>Priest of Fortune, Luck</v>
      </c>
      <c r="BK158" s="174" t="str">
        <f t="shared" si="156"/>
        <v>Priest of Guardianship</v>
      </c>
      <c r="BL158" s="174" t="str">
        <f t="shared" si="156"/>
        <v>Priest of Healing</v>
      </c>
      <c r="BM158" s="174" t="str">
        <f t="shared" si="156"/>
        <v>Priest of Hunting</v>
      </c>
      <c r="BN158" s="174" t="str">
        <f t="shared" si="156"/>
        <v>Priest of Justice, Revenge</v>
      </c>
      <c r="BO158" s="174" t="str">
        <f t="shared" si="156"/>
        <v>Priest of Light</v>
      </c>
      <c r="BP158" s="174" t="str">
        <f t="shared" si="156"/>
        <v>Priest of Lightning</v>
      </c>
      <c r="BQ158" s="174" t="str">
        <f t="shared" si="156"/>
        <v>Priest of Literature</v>
      </c>
      <c r="BR158" s="174" t="str">
        <f t="shared" si="156"/>
        <v>Priest of Love</v>
      </c>
      <c r="BS158" s="174" t="str">
        <f t="shared" si="156"/>
        <v>Priest of Magic</v>
      </c>
      <c r="BT158" s="174" t="str">
        <f t="shared" si="156"/>
        <v>Priest of Marriage</v>
      </c>
      <c r="BU158" s="174" t="str">
        <f t="shared" si="156"/>
        <v>Priest of Messengers</v>
      </c>
      <c r="BV158" s="174" t="str">
        <f t="shared" si="156"/>
        <v>Priest of Metalwork</v>
      </c>
      <c r="BW158" s="174" t="str">
        <f t="shared" si="156"/>
        <v>Priest of Mischief/Trickery</v>
      </c>
      <c r="BX158" s="174" t="str">
        <f t="shared" si="156"/>
        <v>Priest of Moon</v>
      </c>
      <c r="BY158" s="174" t="str">
        <f t="shared" si="156"/>
        <v>Priest of Music, Dance</v>
      </c>
      <c r="BZ158" s="174" t="str">
        <f t="shared" si="156"/>
        <v>Priest of Nature</v>
      </c>
      <c r="CA158" s="174" t="str">
        <f t="shared" si="156"/>
        <v>Priest of Ocean, Rivers</v>
      </c>
      <c r="CB158" s="174" t="str">
        <f t="shared" si="156"/>
        <v>Priest of Oracles</v>
      </c>
      <c r="CC158" s="174" t="str">
        <f t="shared" si="156"/>
        <v>Priest of Peace</v>
      </c>
      <c r="CD158" s="174" t="str">
        <f t="shared" si="156"/>
        <v>Priest of Prosperity</v>
      </c>
      <c r="CE158" s="174" t="str">
        <f t="shared" si="156"/>
        <v>Priest of Redemption</v>
      </c>
      <c r="CF158" s="174" t="str">
        <f t="shared" si="156"/>
        <v>Priest of Rulership</v>
      </c>
      <c r="CG158" s="174" t="str">
        <f t="shared" si="156"/>
        <v>Priest of Seasons</v>
      </c>
      <c r="CH158" s="174" t="str">
        <f t="shared" si="156"/>
        <v>Priest of Sky, Weather</v>
      </c>
      <c r="CI158" s="174" t="str">
        <f t="shared" si="156"/>
        <v>Priest of Strength</v>
      </c>
      <c r="CJ158" s="174" t="str">
        <f t="shared" si="156"/>
        <v>Priest of Sun</v>
      </c>
      <c r="CK158" s="174" t="str">
        <f t="shared" si="156"/>
        <v>Priest of Thunder</v>
      </c>
      <c r="CL158" s="174" t="str">
        <f t="shared" si="156"/>
        <v>Priest of Time</v>
      </c>
      <c r="CM158" s="174" t="str">
        <f t="shared" si="156"/>
        <v>Priest of Trade</v>
      </c>
      <c r="CN158" s="174" t="str">
        <f t="shared" si="156"/>
        <v>Priest of Vegetation</v>
      </c>
      <c r="CO158" s="174" t="str">
        <f t="shared" si="156"/>
        <v>Priest of War</v>
      </c>
      <c r="CP158" s="174" t="str">
        <f t="shared" si="156"/>
        <v>Priest of Wind</v>
      </c>
      <c r="CQ158" s="174" t="str">
        <f t="shared" si="156"/>
        <v>Priest of Wisdom</v>
      </c>
      <c r="CS158" s="174" t="str">
        <f>CS144</f>
        <v>Barbarian (FRP)</v>
      </c>
      <c r="CT158" s="174" t="str">
        <f>CT144</f>
        <v>Outrider (FRP)</v>
      </c>
      <c r="CU158" s="174" t="str">
        <f>CU144</f>
        <v>Sage (FRP)</v>
      </c>
      <c r="CV158" s="174" t="str">
        <f>CV144</f>
        <v>Swashbuckler (FRP)</v>
      </c>
      <c r="CX158" s="174" t="s">
        <v>870</v>
      </c>
      <c r="CY158" s="174" t="s">
        <v>871</v>
      </c>
      <c r="CZ158" s="174" t="s">
        <v>872</v>
      </c>
      <c r="DA158" s="174" t="s">
        <v>1149</v>
      </c>
      <c r="DB158" s="174" t="s">
        <v>874</v>
      </c>
      <c r="DC158" s="174" t="s">
        <v>875</v>
      </c>
      <c r="DD158" s="174" t="s">
        <v>876</v>
      </c>
      <c r="DE158" s="174" t="str">
        <f>DE144</f>
        <v>NEW PROF</v>
      </c>
      <c r="DF158" s="174">
        <v>1</v>
      </c>
      <c r="EE158" s="203">
        <v>2.6701999999999986</v>
      </c>
      <c r="EF158" s="174">
        <v>25</v>
      </c>
      <c r="HB158" s="197">
        <v>155</v>
      </c>
      <c r="HC158" s="194">
        <v>97</v>
      </c>
      <c r="HD158" s="238">
        <v>122.5</v>
      </c>
      <c r="HE158" s="236">
        <v>25</v>
      </c>
      <c r="HF158" s="183">
        <v>220</v>
      </c>
      <c r="HG158" s="193">
        <f t="shared" si="152"/>
        <v>215</v>
      </c>
      <c r="HH158" s="192" t="e">
        <f t="shared" si="153"/>
        <v>#REF!</v>
      </c>
      <c r="HI158" s="198">
        <v>25</v>
      </c>
      <c r="HJ158" s="185">
        <v>167.5</v>
      </c>
      <c r="HK158" s="174">
        <v>156</v>
      </c>
      <c r="HL158" s="174">
        <f t="shared" si="121"/>
        <v>694</v>
      </c>
      <c r="HM158" s="174">
        <f t="shared" si="122"/>
        <v>684</v>
      </c>
      <c r="HN158" s="174">
        <f t="shared" si="123"/>
        <v>538</v>
      </c>
      <c r="HO158" s="174">
        <f t="shared" si="124"/>
        <v>402</v>
      </c>
      <c r="HP158" s="174">
        <f t="shared" si="125"/>
        <v>276</v>
      </c>
      <c r="HQ158" s="174">
        <f t="shared" si="126"/>
        <v>266</v>
      </c>
      <c r="HR158" s="174">
        <f t="shared" si="127"/>
        <v>266</v>
      </c>
      <c r="HS158" s="174">
        <f t="shared" si="128"/>
        <v>256</v>
      </c>
      <c r="HT158" s="174">
        <f t="shared" si="129"/>
        <v>246</v>
      </c>
      <c r="HU158" s="174">
        <f t="shared" si="130"/>
        <v>528</v>
      </c>
      <c r="HV158" s="174">
        <f t="shared" si="131"/>
        <v>266</v>
      </c>
      <c r="HW158" s="174">
        <f t="shared" si="132"/>
        <v>256</v>
      </c>
      <c r="HX158" s="174">
        <f t="shared" si="133"/>
        <v>382</v>
      </c>
      <c r="HY158" s="174">
        <f t="shared" si="134"/>
        <v>246</v>
      </c>
      <c r="HZ158" s="174">
        <f t="shared" si="135"/>
        <v>236</v>
      </c>
      <c r="IA158" s="174">
        <f t="shared" si="136"/>
        <v>226</v>
      </c>
      <c r="IB158" s="174">
        <f t="shared" si="137"/>
        <v>372</v>
      </c>
      <c r="IC158" s="174">
        <f t="shared" si="138"/>
        <v>352</v>
      </c>
      <c r="ID158" s="174">
        <f t="shared" si="139"/>
        <v>216</v>
      </c>
      <c r="IE158" s="174">
        <f t="shared" si="140"/>
        <v>342</v>
      </c>
      <c r="IF158" s="174">
        <f t="shared" si="141"/>
        <v>216</v>
      </c>
      <c r="IG158" s="174">
        <f t="shared" si="142"/>
        <v>196</v>
      </c>
      <c r="IH158" s="174">
        <f t="shared" si="143"/>
        <v>186</v>
      </c>
      <c r="II158" s="174">
        <f t="shared" si="144"/>
        <v>166</v>
      </c>
      <c r="IJ158" s="174">
        <v>158</v>
      </c>
    </row>
    <row r="159" spans="1:244" ht="13.35" customHeight="1" x14ac:dyDescent="0.2">
      <c r="A159" s="212" t="s">
        <v>887</v>
      </c>
      <c r="B159" s="174">
        <v>5</v>
      </c>
      <c r="C159" s="213"/>
      <c r="E159" s="207"/>
      <c r="F159" s="208" t="s">
        <v>4119</v>
      </c>
      <c r="G159" s="208" t="s">
        <v>4119</v>
      </c>
      <c r="H159" s="208" t="s">
        <v>4119</v>
      </c>
      <c r="I159" s="208" t="s">
        <v>587</v>
      </c>
      <c r="J159" s="208" t="s">
        <v>4119</v>
      </c>
      <c r="K159" s="208"/>
      <c r="L159" s="208" t="s">
        <v>248</v>
      </c>
      <c r="M159" s="208" t="s">
        <v>1407</v>
      </c>
      <c r="N159" s="208" t="s">
        <v>1407</v>
      </c>
      <c r="O159" s="208" t="s">
        <v>248</v>
      </c>
      <c r="P159" s="208" t="s">
        <v>248</v>
      </c>
      <c r="Q159" s="208" t="s">
        <v>248</v>
      </c>
      <c r="R159" s="208" t="s">
        <v>248</v>
      </c>
      <c r="S159" s="208" t="s">
        <v>248</v>
      </c>
      <c r="T159" s="208" t="s">
        <v>248</v>
      </c>
      <c r="U159" s="208" t="s">
        <v>248</v>
      </c>
      <c r="V159" s="208" t="s">
        <v>248</v>
      </c>
      <c r="W159" s="208" t="s">
        <v>248</v>
      </c>
      <c r="X159" s="208" t="s">
        <v>248</v>
      </c>
      <c r="Y159" s="208" t="s">
        <v>248</v>
      </c>
      <c r="Z159" s="208"/>
      <c r="AA159" s="208" t="s">
        <v>248</v>
      </c>
      <c r="AB159" s="208" t="s">
        <v>248</v>
      </c>
      <c r="AC159" s="208" t="s">
        <v>248</v>
      </c>
      <c r="AD159" s="208" t="s">
        <v>248</v>
      </c>
      <c r="AE159" s="208"/>
      <c r="AF159" s="208" t="s">
        <v>543</v>
      </c>
      <c r="AG159" s="208" t="s">
        <v>248</v>
      </c>
      <c r="AH159" s="208" t="s">
        <v>248</v>
      </c>
      <c r="AI159" s="208"/>
      <c r="AJ159" s="208" t="s">
        <v>248</v>
      </c>
      <c r="AK159" s="208" t="s">
        <v>248</v>
      </c>
      <c r="AL159" s="208" t="s">
        <v>248</v>
      </c>
      <c r="AM159" s="208" t="s">
        <v>248</v>
      </c>
      <c r="AN159" s="208"/>
      <c r="AO159" s="208" t="s">
        <v>248</v>
      </c>
      <c r="AP159" s="208" t="s">
        <v>248</v>
      </c>
      <c r="AQ159" s="208" t="s">
        <v>248</v>
      </c>
      <c r="AR159" s="208"/>
      <c r="AS159" s="208" t="s">
        <v>248</v>
      </c>
      <c r="AT159" s="208" t="s">
        <v>248</v>
      </c>
      <c r="AU159" s="208" t="s">
        <v>248</v>
      </c>
      <c r="AV159" s="208" t="s">
        <v>248</v>
      </c>
      <c r="AW159" s="208" t="s">
        <v>248</v>
      </c>
      <c r="AX159" s="208" t="s">
        <v>248</v>
      </c>
      <c r="AY159" s="208" t="s">
        <v>248</v>
      </c>
      <c r="AZ159" s="208" t="s">
        <v>248</v>
      </c>
      <c r="BA159" s="208" t="s">
        <v>248</v>
      </c>
      <c r="BB159" s="208" t="s">
        <v>248</v>
      </c>
      <c r="BC159" s="208" t="s">
        <v>248</v>
      </c>
      <c r="BD159" s="208" t="s">
        <v>248</v>
      </c>
      <c r="BE159" s="208" t="s">
        <v>248</v>
      </c>
      <c r="BF159" s="208" t="s">
        <v>248</v>
      </c>
      <c r="BG159" s="208" t="s">
        <v>248</v>
      </c>
      <c r="BH159" s="208" t="s">
        <v>248</v>
      </c>
      <c r="BI159" s="208" t="s">
        <v>248</v>
      </c>
      <c r="BJ159" s="208" t="s">
        <v>248</v>
      </c>
      <c r="BK159" s="208" t="s">
        <v>248</v>
      </c>
      <c r="BL159" s="208" t="s">
        <v>248</v>
      </c>
      <c r="BM159" s="208" t="s">
        <v>248</v>
      </c>
      <c r="BN159" s="208" t="s">
        <v>248</v>
      </c>
      <c r="BO159" s="208" t="s">
        <v>248</v>
      </c>
      <c r="BP159" s="208" t="s">
        <v>248</v>
      </c>
      <c r="BQ159" s="208" t="s">
        <v>248</v>
      </c>
      <c r="BR159" s="208" t="s">
        <v>506</v>
      </c>
      <c r="BS159" s="208" t="s">
        <v>1803</v>
      </c>
      <c r="BT159" s="208" t="s">
        <v>248</v>
      </c>
      <c r="BU159" s="208" t="s">
        <v>248</v>
      </c>
      <c r="BV159" s="208" t="s">
        <v>248</v>
      </c>
      <c r="BW159" s="208" t="s">
        <v>248</v>
      </c>
      <c r="BX159" s="208" t="s">
        <v>248</v>
      </c>
      <c r="BY159" s="208" t="s">
        <v>248</v>
      </c>
      <c r="BZ159" s="208" t="s">
        <v>248</v>
      </c>
      <c r="CA159" s="208" t="s">
        <v>248</v>
      </c>
      <c r="CB159" s="208" t="s">
        <v>248</v>
      </c>
      <c r="CC159" s="208" t="s">
        <v>248</v>
      </c>
      <c r="CD159" s="208" t="s">
        <v>248</v>
      </c>
      <c r="CE159" s="208" t="s">
        <v>248</v>
      </c>
      <c r="CF159" s="208" t="s">
        <v>248</v>
      </c>
      <c r="CG159" s="208" t="s">
        <v>248</v>
      </c>
      <c r="CH159" s="208" t="s">
        <v>248</v>
      </c>
      <c r="CI159" s="208" t="s">
        <v>248</v>
      </c>
      <c r="CJ159" s="208" t="s">
        <v>248</v>
      </c>
      <c r="CK159" s="208" t="s">
        <v>248</v>
      </c>
      <c r="CL159" s="208" t="s">
        <v>248</v>
      </c>
      <c r="CM159" s="208" t="s">
        <v>248</v>
      </c>
      <c r="CN159" s="208" t="s">
        <v>248</v>
      </c>
      <c r="CO159" s="208" t="s">
        <v>248</v>
      </c>
      <c r="CP159" s="208" t="s">
        <v>248</v>
      </c>
      <c r="CQ159" s="208" t="s">
        <v>248</v>
      </c>
      <c r="CR159" s="208"/>
      <c r="CS159" s="208" t="s">
        <v>4119</v>
      </c>
      <c r="CT159" s="208" t="s">
        <v>4119</v>
      </c>
      <c r="CU159" s="208" t="s">
        <v>4119</v>
      </c>
      <c r="CV159" s="208" t="s">
        <v>4119</v>
      </c>
      <c r="CW159" s="208"/>
      <c r="CX159" s="208" t="s">
        <v>248</v>
      </c>
      <c r="CY159" s="208" t="s">
        <v>248</v>
      </c>
      <c r="CZ159" s="208" t="s">
        <v>248</v>
      </c>
      <c r="DA159" s="208" t="s">
        <v>4119</v>
      </c>
      <c r="DB159" s="208" t="s">
        <v>248</v>
      </c>
      <c r="DC159" s="208" t="s">
        <v>248</v>
      </c>
      <c r="DD159" s="208" t="s">
        <v>248</v>
      </c>
      <c r="DE159" s="208"/>
      <c r="DF159" s="174">
        <v>2</v>
      </c>
      <c r="HB159" s="197">
        <v>156</v>
      </c>
      <c r="HC159" s="194">
        <v>97</v>
      </c>
      <c r="HD159" s="238">
        <v>123</v>
      </c>
      <c r="HE159" s="236">
        <v>25</v>
      </c>
      <c r="HF159" s="183">
        <v>221</v>
      </c>
      <c r="HG159" s="193">
        <f t="shared" si="152"/>
        <v>216</v>
      </c>
      <c r="HH159" s="192" t="e">
        <f t="shared" si="153"/>
        <v>#REF!</v>
      </c>
      <c r="HI159" s="198">
        <v>25</v>
      </c>
      <c r="HJ159" s="185">
        <v>168</v>
      </c>
      <c r="HK159" s="174">
        <v>157</v>
      </c>
      <c r="HL159" s="174">
        <f t="shared" si="121"/>
        <v>698</v>
      </c>
      <c r="HM159" s="174">
        <f t="shared" si="122"/>
        <v>688</v>
      </c>
      <c r="HN159" s="174">
        <f t="shared" si="123"/>
        <v>541</v>
      </c>
      <c r="HO159" s="174">
        <f t="shared" si="124"/>
        <v>404</v>
      </c>
      <c r="HP159" s="174">
        <f t="shared" si="125"/>
        <v>277</v>
      </c>
      <c r="HQ159" s="174">
        <f t="shared" si="126"/>
        <v>267</v>
      </c>
      <c r="HR159" s="174">
        <f t="shared" si="127"/>
        <v>267</v>
      </c>
      <c r="HS159" s="174">
        <f t="shared" si="128"/>
        <v>257</v>
      </c>
      <c r="HT159" s="174">
        <f t="shared" si="129"/>
        <v>247</v>
      </c>
      <c r="HU159" s="174">
        <f t="shared" si="130"/>
        <v>531</v>
      </c>
      <c r="HV159" s="174">
        <f t="shared" si="131"/>
        <v>267</v>
      </c>
      <c r="HW159" s="174">
        <f t="shared" si="132"/>
        <v>257</v>
      </c>
      <c r="HX159" s="174">
        <f t="shared" si="133"/>
        <v>384</v>
      </c>
      <c r="HY159" s="174">
        <f t="shared" si="134"/>
        <v>247</v>
      </c>
      <c r="HZ159" s="174">
        <f t="shared" si="135"/>
        <v>237</v>
      </c>
      <c r="IA159" s="174">
        <f t="shared" si="136"/>
        <v>227</v>
      </c>
      <c r="IB159" s="174">
        <f t="shared" si="137"/>
        <v>374</v>
      </c>
      <c r="IC159" s="174">
        <f t="shared" si="138"/>
        <v>354</v>
      </c>
      <c r="ID159" s="174">
        <f t="shared" si="139"/>
        <v>217</v>
      </c>
      <c r="IE159" s="174">
        <f t="shared" si="140"/>
        <v>344</v>
      </c>
      <c r="IF159" s="174">
        <f t="shared" si="141"/>
        <v>217</v>
      </c>
      <c r="IG159" s="174">
        <f t="shared" si="142"/>
        <v>197</v>
      </c>
      <c r="IH159" s="174">
        <f t="shared" si="143"/>
        <v>187</v>
      </c>
      <c r="II159" s="174">
        <f t="shared" si="144"/>
        <v>167</v>
      </c>
      <c r="IJ159" s="174">
        <v>159</v>
      </c>
    </row>
    <row r="160" spans="1:244" ht="13.35" customHeight="1" x14ac:dyDescent="0.2">
      <c r="A160" s="212" t="s">
        <v>1401</v>
      </c>
      <c r="B160" s="174">
        <v>6</v>
      </c>
      <c r="C160" s="213"/>
      <c r="E160" s="207"/>
      <c r="F160" s="208"/>
      <c r="G160" s="208"/>
      <c r="H160" s="208"/>
      <c r="I160" s="208" t="s">
        <v>599</v>
      </c>
      <c r="J160" s="208"/>
      <c r="K160" s="208"/>
      <c r="L160" s="208"/>
      <c r="M160" s="208"/>
      <c r="N160" s="208"/>
      <c r="O160" s="208"/>
      <c r="P160" s="208"/>
      <c r="Q160" s="208"/>
      <c r="R160" s="208"/>
      <c r="S160" s="208"/>
      <c r="T160" s="208"/>
      <c r="U160" s="208"/>
      <c r="V160" s="208"/>
      <c r="W160" s="208"/>
      <c r="X160" s="208"/>
      <c r="Y160" s="208"/>
      <c r="Z160" s="208"/>
      <c r="AA160" s="208"/>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208"/>
      <c r="BD160" s="208"/>
      <c r="BE160" s="208"/>
      <c r="BF160" s="208"/>
      <c r="BG160" s="208"/>
      <c r="BH160" s="208"/>
      <c r="BI160" s="208"/>
      <c r="BJ160" s="208"/>
      <c r="BK160" s="208"/>
      <c r="BL160" s="208"/>
      <c r="BM160" s="208"/>
      <c r="BN160" s="208"/>
      <c r="BO160" s="208"/>
      <c r="BP160" s="208"/>
      <c r="BQ160" s="208"/>
      <c r="BR160" s="208"/>
      <c r="BS160" s="208"/>
      <c r="BT160" s="208"/>
      <c r="BU160" s="208"/>
      <c r="BV160" s="208"/>
      <c r="BW160" s="208"/>
      <c r="BX160" s="208"/>
      <c r="BY160" s="208"/>
      <c r="BZ160" s="208"/>
      <c r="CA160" s="208"/>
      <c r="CB160" s="208"/>
      <c r="CC160" s="208"/>
      <c r="CD160" s="208"/>
      <c r="CE160" s="208"/>
      <c r="CF160" s="208"/>
      <c r="CG160" s="208"/>
      <c r="CH160" s="208"/>
      <c r="CI160" s="208"/>
      <c r="CJ160" s="208"/>
      <c r="CK160" s="208"/>
      <c r="CL160" s="208"/>
      <c r="CM160" s="208"/>
      <c r="CN160" s="208"/>
      <c r="CO160" s="208"/>
      <c r="CP160" s="208"/>
      <c r="CQ160" s="208"/>
      <c r="CR160" s="208"/>
      <c r="CS160" s="208" t="s">
        <v>1804</v>
      </c>
      <c r="CT160" s="208"/>
      <c r="CU160" s="208"/>
      <c r="CV160" s="208"/>
      <c r="CW160" s="208"/>
      <c r="CX160" s="208"/>
      <c r="CY160" s="208"/>
      <c r="CZ160" s="208"/>
      <c r="DA160" s="208" t="s">
        <v>1805</v>
      </c>
      <c r="DB160" s="208"/>
      <c r="DC160" s="208"/>
      <c r="DD160" s="208"/>
      <c r="DE160" s="208"/>
      <c r="DF160" s="174">
        <v>3</v>
      </c>
      <c r="HB160" s="197">
        <v>157</v>
      </c>
      <c r="HC160" s="194">
        <v>98</v>
      </c>
      <c r="HD160" s="238">
        <v>123.5</v>
      </c>
      <c r="HE160" s="236">
        <v>25</v>
      </c>
      <c r="HF160" s="183">
        <v>222</v>
      </c>
      <c r="HG160" s="193">
        <f t="shared" si="152"/>
        <v>217</v>
      </c>
      <c r="HH160" s="192" t="e">
        <f t="shared" si="153"/>
        <v>#REF!</v>
      </c>
      <c r="HI160" s="198">
        <v>25</v>
      </c>
      <c r="HJ160" s="185">
        <v>168.5</v>
      </c>
      <c r="HK160" s="174">
        <v>158</v>
      </c>
      <c r="HL160" s="174">
        <f t="shared" si="121"/>
        <v>702</v>
      </c>
      <c r="HM160" s="174">
        <f t="shared" si="122"/>
        <v>692</v>
      </c>
      <c r="HN160" s="174">
        <f t="shared" si="123"/>
        <v>544</v>
      </c>
      <c r="HO160" s="174">
        <f t="shared" si="124"/>
        <v>406</v>
      </c>
      <c r="HP160" s="174">
        <f t="shared" si="125"/>
        <v>278</v>
      </c>
      <c r="HQ160" s="174">
        <f t="shared" si="126"/>
        <v>268</v>
      </c>
      <c r="HR160" s="174">
        <f t="shared" si="127"/>
        <v>268</v>
      </c>
      <c r="HS160" s="174">
        <f t="shared" si="128"/>
        <v>258</v>
      </c>
      <c r="HT160" s="174">
        <f t="shared" si="129"/>
        <v>248</v>
      </c>
      <c r="HU160" s="174">
        <f t="shared" si="130"/>
        <v>534</v>
      </c>
      <c r="HV160" s="174">
        <f t="shared" si="131"/>
        <v>268</v>
      </c>
      <c r="HW160" s="174">
        <f t="shared" si="132"/>
        <v>258</v>
      </c>
      <c r="HX160" s="174">
        <f t="shared" si="133"/>
        <v>386</v>
      </c>
      <c r="HY160" s="174">
        <f t="shared" si="134"/>
        <v>248</v>
      </c>
      <c r="HZ160" s="174">
        <f t="shared" si="135"/>
        <v>238</v>
      </c>
      <c r="IA160" s="174">
        <f t="shared" si="136"/>
        <v>228</v>
      </c>
      <c r="IB160" s="174">
        <f t="shared" si="137"/>
        <v>376</v>
      </c>
      <c r="IC160" s="174">
        <f t="shared" si="138"/>
        <v>356</v>
      </c>
      <c r="ID160" s="174">
        <f t="shared" si="139"/>
        <v>218</v>
      </c>
      <c r="IE160" s="174">
        <f t="shared" si="140"/>
        <v>346</v>
      </c>
      <c r="IF160" s="174">
        <f t="shared" si="141"/>
        <v>218</v>
      </c>
      <c r="IG160" s="174">
        <f t="shared" si="142"/>
        <v>198</v>
      </c>
      <c r="IH160" s="174">
        <f t="shared" si="143"/>
        <v>188</v>
      </c>
      <c r="II160" s="174">
        <f t="shared" si="144"/>
        <v>168</v>
      </c>
      <c r="IJ160" s="174">
        <v>160</v>
      </c>
    </row>
    <row r="161" spans="1:261" s="208" customFormat="1" ht="13.35" customHeight="1" x14ac:dyDescent="0.2">
      <c r="A161" s="212" t="s">
        <v>889</v>
      </c>
      <c r="B161" s="174">
        <v>7</v>
      </c>
      <c r="C161" s="213"/>
      <c r="D161" s="174"/>
      <c r="E161" s="207"/>
      <c r="I161" s="208" t="s">
        <v>4119</v>
      </c>
      <c r="DF161" s="174">
        <v>4</v>
      </c>
      <c r="DG161" s="174"/>
      <c r="DH161" s="174"/>
      <c r="DI161" s="174"/>
      <c r="DJ161" s="174"/>
      <c r="DK161" s="174"/>
      <c r="DL161" s="174"/>
      <c r="DM161" s="174"/>
      <c r="DN161" s="174"/>
      <c r="DO161" s="174"/>
      <c r="DP161" s="174"/>
      <c r="DQ161" s="174"/>
      <c r="DR161" s="174"/>
      <c r="DS161" s="174"/>
      <c r="DT161" s="174"/>
      <c r="DU161" s="174"/>
      <c r="DV161" s="174"/>
      <c r="DW161" s="174"/>
      <c r="DX161" s="174"/>
      <c r="DY161" s="174"/>
      <c r="DZ161" s="174"/>
      <c r="EA161" s="174"/>
      <c r="EB161" s="174"/>
      <c r="EC161" s="174"/>
      <c r="ED161" s="174"/>
      <c r="EE161" s="174"/>
      <c r="EF161" s="174"/>
      <c r="EG161" s="174"/>
      <c r="EH161" s="174"/>
      <c r="EI161" s="174"/>
      <c r="EJ161" s="174"/>
      <c r="EK161" s="174"/>
      <c r="EL161" s="174"/>
      <c r="EM161" s="174"/>
      <c r="EN161" s="174" t="s">
        <v>1806</v>
      </c>
      <c r="EO161" s="268" t="s">
        <v>4193</v>
      </c>
      <c r="EP161" s="268" t="s">
        <v>916</v>
      </c>
      <c r="EQ161" s="268" t="s">
        <v>916</v>
      </c>
      <c r="ER161" s="268" t="s">
        <v>895</v>
      </c>
      <c r="ES161" s="268" t="s">
        <v>895</v>
      </c>
      <c r="ET161" s="268" t="s">
        <v>895</v>
      </c>
      <c r="EU161" s="268" t="s">
        <v>4055</v>
      </c>
      <c r="EV161" s="268" t="s">
        <v>4055</v>
      </c>
      <c r="EW161" s="268" t="s">
        <v>4055</v>
      </c>
      <c r="EX161" s="268" t="s">
        <v>4055</v>
      </c>
      <c r="EY161" s="268" t="s">
        <v>4055</v>
      </c>
      <c r="EZ161" s="268" t="s">
        <v>4055</v>
      </c>
      <c r="FA161" s="268" t="s">
        <v>4184</v>
      </c>
      <c r="FB161" s="268" t="s">
        <v>4184</v>
      </c>
      <c r="FC161" s="268" t="s">
        <v>4184</v>
      </c>
      <c r="FD161" s="268" t="s">
        <v>905</v>
      </c>
      <c r="FE161" s="268" t="s">
        <v>905</v>
      </c>
      <c r="FF161" s="268" t="s">
        <v>905</v>
      </c>
      <c r="FG161" s="268" t="s">
        <v>4186</v>
      </c>
      <c r="FH161" s="268" t="s">
        <v>4186</v>
      </c>
      <c r="FI161" s="268" t="s">
        <v>4186</v>
      </c>
      <c r="FJ161" s="268" t="s">
        <v>4186</v>
      </c>
      <c r="FK161" s="268" t="s">
        <v>4186</v>
      </c>
      <c r="FL161" s="268" t="s">
        <v>4186</v>
      </c>
      <c r="FM161" s="268" t="s">
        <v>4186</v>
      </c>
      <c r="FN161" s="268" t="s">
        <v>4186</v>
      </c>
      <c r="FO161" s="268" t="s">
        <v>4186</v>
      </c>
      <c r="FP161" s="268" t="s">
        <v>4186</v>
      </c>
      <c r="FQ161" s="268" t="s">
        <v>4186</v>
      </c>
      <c r="FR161" s="268" t="s">
        <v>4186</v>
      </c>
      <c r="FS161" s="268" t="s">
        <v>4186</v>
      </c>
      <c r="FT161" s="268" t="s">
        <v>4186</v>
      </c>
      <c r="FU161" s="268" t="s">
        <v>4186</v>
      </c>
      <c r="FV161" s="268" t="s">
        <v>4186</v>
      </c>
      <c r="FW161" s="268" t="s">
        <v>4186</v>
      </c>
      <c r="FX161" s="268" t="s">
        <v>4186</v>
      </c>
      <c r="FY161" s="268" t="s">
        <v>1013</v>
      </c>
      <c r="FZ161" s="268" t="s">
        <v>1013</v>
      </c>
      <c r="GA161" s="185"/>
      <c r="GB161" s="185"/>
      <c r="GC161" s="185"/>
      <c r="GD161" s="174"/>
      <c r="GE161" s="185"/>
      <c r="GF161" s="185"/>
      <c r="GG161" s="185"/>
      <c r="GH161" s="185"/>
      <c r="GI161" s="185"/>
      <c r="GJ161" s="185"/>
      <c r="GK161" s="185"/>
      <c r="GL161" s="185"/>
      <c r="GM161" s="185"/>
      <c r="GN161" s="185"/>
      <c r="GO161" s="185"/>
      <c r="GP161" s="185"/>
      <c r="GQ161" s="185"/>
      <c r="GR161" s="174"/>
      <c r="GS161" s="174"/>
      <c r="GT161" s="174"/>
      <c r="GU161" s="174"/>
      <c r="GV161" s="174"/>
      <c r="GW161" s="174"/>
      <c r="GX161" s="174"/>
      <c r="GY161" s="174"/>
      <c r="GZ161" s="174"/>
      <c r="HA161" s="174"/>
      <c r="HB161" s="197">
        <v>158</v>
      </c>
      <c r="HC161" s="194">
        <v>98</v>
      </c>
      <c r="HD161" s="238">
        <v>124</v>
      </c>
      <c r="HE161" s="236">
        <v>25</v>
      </c>
      <c r="HF161" s="183">
        <v>223</v>
      </c>
      <c r="HG161" s="193">
        <f t="shared" si="152"/>
        <v>218</v>
      </c>
      <c r="HH161" s="192" t="e">
        <f t="shared" si="153"/>
        <v>#REF!</v>
      </c>
      <c r="HI161" s="198">
        <v>25</v>
      </c>
      <c r="HJ161" s="185">
        <v>169</v>
      </c>
      <c r="HK161" s="174">
        <v>159</v>
      </c>
      <c r="HL161" s="174">
        <f t="shared" si="121"/>
        <v>706</v>
      </c>
      <c r="HM161" s="174">
        <f t="shared" si="122"/>
        <v>696</v>
      </c>
      <c r="HN161" s="174">
        <f t="shared" si="123"/>
        <v>547</v>
      </c>
      <c r="HO161" s="174">
        <f t="shared" si="124"/>
        <v>408</v>
      </c>
      <c r="HP161" s="174">
        <f t="shared" si="125"/>
        <v>279</v>
      </c>
      <c r="HQ161" s="174">
        <f t="shared" si="126"/>
        <v>269</v>
      </c>
      <c r="HR161" s="174">
        <f t="shared" si="127"/>
        <v>269</v>
      </c>
      <c r="HS161" s="174">
        <f t="shared" si="128"/>
        <v>259</v>
      </c>
      <c r="HT161" s="174">
        <f t="shared" si="129"/>
        <v>249</v>
      </c>
      <c r="HU161" s="174">
        <f t="shared" si="130"/>
        <v>537</v>
      </c>
      <c r="HV161" s="174">
        <f t="shared" si="131"/>
        <v>269</v>
      </c>
      <c r="HW161" s="174">
        <f t="shared" si="132"/>
        <v>259</v>
      </c>
      <c r="HX161" s="174">
        <f t="shared" si="133"/>
        <v>388</v>
      </c>
      <c r="HY161" s="174">
        <f t="shared" si="134"/>
        <v>249</v>
      </c>
      <c r="HZ161" s="174">
        <f t="shared" si="135"/>
        <v>239</v>
      </c>
      <c r="IA161" s="174">
        <f t="shared" si="136"/>
        <v>229</v>
      </c>
      <c r="IB161" s="174">
        <f t="shared" si="137"/>
        <v>378</v>
      </c>
      <c r="IC161" s="174">
        <f t="shared" si="138"/>
        <v>358</v>
      </c>
      <c r="ID161" s="174">
        <f t="shared" si="139"/>
        <v>219</v>
      </c>
      <c r="IE161" s="174">
        <f t="shared" si="140"/>
        <v>348</v>
      </c>
      <c r="IF161" s="174">
        <f t="shared" si="141"/>
        <v>219</v>
      </c>
      <c r="IG161" s="174">
        <f t="shared" si="142"/>
        <v>199</v>
      </c>
      <c r="IH161" s="174">
        <f t="shared" si="143"/>
        <v>189</v>
      </c>
      <c r="II161" s="174">
        <f t="shared" si="144"/>
        <v>169</v>
      </c>
      <c r="IJ161" s="174">
        <v>161</v>
      </c>
      <c r="IK161" s="174"/>
      <c r="IL161" s="174"/>
      <c r="IM161" s="174"/>
      <c r="IN161" s="174"/>
      <c r="IO161" s="174"/>
      <c r="IP161" s="174"/>
      <c r="IQ161" s="174"/>
      <c r="IR161" s="174"/>
      <c r="IS161" s="174"/>
      <c r="IT161" s="174"/>
      <c r="IU161" s="174"/>
    </row>
    <row r="162" spans="1:261" ht="13.35" customHeight="1" x14ac:dyDescent="0.2">
      <c r="A162" s="214" t="s">
        <v>890</v>
      </c>
      <c r="B162" s="215">
        <v>8</v>
      </c>
      <c r="C162" s="216"/>
      <c r="E162" s="207"/>
      <c r="EO162" s="268" t="s">
        <v>4193</v>
      </c>
      <c r="EP162" s="268" t="s">
        <v>977</v>
      </c>
      <c r="EQ162" s="268" t="s">
        <v>976</v>
      </c>
      <c r="ER162" s="268" t="s">
        <v>4360</v>
      </c>
      <c r="ES162" s="268" t="s">
        <v>4359</v>
      </c>
      <c r="ET162" s="268" t="s">
        <v>4364</v>
      </c>
      <c r="EU162" s="268" t="s">
        <v>4181</v>
      </c>
      <c r="EV162" s="268" t="s">
        <v>899</v>
      </c>
      <c r="EW162" s="268" t="s">
        <v>4172</v>
      </c>
      <c r="EX162" s="268" t="s">
        <v>4171</v>
      </c>
      <c r="EY162" s="268" t="s">
        <v>4180</v>
      </c>
      <c r="EZ162" s="268" t="s">
        <v>4173</v>
      </c>
      <c r="FA162" s="268" t="s">
        <v>4183</v>
      </c>
      <c r="FB162" s="268" t="s">
        <v>4349</v>
      </c>
      <c r="FC162" s="268" t="s">
        <v>4185</v>
      </c>
      <c r="FD162" s="268" t="s">
        <v>4361</v>
      </c>
      <c r="FE162" s="268" t="s">
        <v>4393</v>
      </c>
      <c r="FF162" s="268" t="s">
        <v>4371</v>
      </c>
      <c r="FG162" s="268" t="s">
        <v>4269</v>
      </c>
      <c r="FH162" s="268" t="s">
        <v>4197</v>
      </c>
      <c r="FI162" s="268" t="s">
        <v>4187</v>
      </c>
      <c r="FJ162" s="268" t="s">
        <v>4188</v>
      </c>
      <c r="FK162" s="268" t="s">
        <v>4195</v>
      </c>
      <c r="FL162" s="268" t="s">
        <v>4198</v>
      </c>
      <c r="FM162" s="268" t="s">
        <v>4199</v>
      </c>
      <c r="FN162" s="268" t="s">
        <v>4200</v>
      </c>
      <c r="FO162" s="268" t="s">
        <v>4189</v>
      </c>
      <c r="FP162" s="268" t="s">
        <v>4388</v>
      </c>
      <c r="FQ162" s="268" t="s">
        <v>4190</v>
      </c>
      <c r="FR162" s="268" t="s">
        <v>4201</v>
      </c>
      <c r="FS162" s="268" t="s">
        <v>4191</v>
      </c>
      <c r="FT162" s="268" t="s">
        <v>4202</v>
      </c>
      <c r="FU162" s="268" t="s">
        <v>4192</v>
      </c>
      <c r="FV162" s="268" t="s">
        <v>4203</v>
      </c>
      <c r="FW162" s="268" t="s">
        <v>4377</v>
      </c>
      <c r="FX162" s="268" t="s">
        <v>4204</v>
      </c>
      <c r="FY162" s="268" t="s">
        <v>913</v>
      </c>
      <c r="FZ162" s="268" t="s">
        <v>1058</v>
      </c>
      <c r="GA162" s="185"/>
      <c r="GB162" s="185"/>
      <c r="GC162" s="185"/>
      <c r="GE162" s="185"/>
      <c r="GF162" s="185"/>
      <c r="GG162" s="185"/>
      <c r="GH162" s="185"/>
      <c r="GI162" s="185"/>
      <c r="GJ162" s="185"/>
      <c r="GK162" s="185"/>
      <c r="GL162" s="185"/>
      <c r="GM162" s="185"/>
      <c r="GN162" s="185"/>
      <c r="GO162" s="185"/>
      <c r="GP162" s="185"/>
      <c r="GQ162" s="185"/>
      <c r="HA162" s="174">
        <v>1</v>
      </c>
      <c r="HB162" s="197">
        <v>159</v>
      </c>
      <c r="HC162" s="194">
        <v>100</v>
      </c>
      <c r="HD162" s="238">
        <v>124.5</v>
      </c>
      <c r="HE162" s="236">
        <v>25</v>
      </c>
      <c r="HF162" s="183">
        <v>224</v>
      </c>
      <c r="HG162" s="193">
        <f t="shared" si="152"/>
        <v>219</v>
      </c>
      <c r="HH162" s="192" t="e">
        <f t="shared" si="153"/>
        <v>#REF!</v>
      </c>
      <c r="HI162" s="198">
        <v>25</v>
      </c>
      <c r="HJ162" s="185">
        <v>169.5</v>
      </c>
      <c r="HK162" s="182">
        <v>160</v>
      </c>
      <c r="HL162" s="174">
        <f t="shared" ref="HL162:HL202" si="157">HL161+4</f>
        <v>710</v>
      </c>
      <c r="HM162" s="174">
        <f t="shared" ref="HM162:HM202" si="158">HM161+4</f>
        <v>700</v>
      </c>
      <c r="HN162" s="174">
        <f t="shared" ref="HN162:HN202" si="159">HN161+3</f>
        <v>550</v>
      </c>
      <c r="HO162" s="174">
        <f t="shared" ref="HO162:HO202" si="160">HO161+2</f>
        <v>410</v>
      </c>
      <c r="HP162" s="174">
        <f t="shared" ref="HP162:HP202" si="161">HP161+1</f>
        <v>280</v>
      </c>
      <c r="HQ162" s="174">
        <f t="shared" ref="HQ162:HQ202" si="162">HQ161+1</f>
        <v>270</v>
      </c>
      <c r="HR162" s="174">
        <f t="shared" ref="HR162:HR202" si="163">HR161+1</f>
        <v>270</v>
      </c>
      <c r="HS162" s="174">
        <f t="shared" ref="HS162:HS202" si="164">HS161+1</f>
        <v>260</v>
      </c>
      <c r="HT162" s="174">
        <f t="shared" ref="HT162:HT202" si="165">HT161+1</f>
        <v>250</v>
      </c>
      <c r="HU162" s="174">
        <f t="shared" ref="HU162:HU202" si="166">HU161+3</f>
        <v>540</v>
      </c>
      <c r="HV162" s="174">
        <f t="shared" ref="HV162:HV202" si="167">HV161+1</f>
        <v>270</v>
      </c>
      <c r="HW162" s="174">
        <f t="shared" ref="HW162:HW202" si="168">HW161+1</f>
        <v>260</v>
      </c>
      <c r="HX162" s="174">
        <f t="shared" ref="HX162:HX202" si="169">HX161+2</f>
        <v>390</v>
      </c>
      <c r="HY162" s="174">
        <f t="shared" ref="HY162:HY202" si="170">HY161+1</f>
        <v>250</v>
      </c>
      <c r="HZ162" s="174">
        <f t="shared" ref="HZ162:HZ202" si="171">HZ161+1</f>
        <v>240</v>
      </c>
      <c r="IA162" s="174">
        <f t="shared" ref="IA162:IA202" si="172">IA161+1</f>
        <v>230</v>
      </c>
      <c r="IB162" s="174">
        <f t="shared" ref="IB162:IB202" si="173">IB161+2</f>
        <v>380</v>
      </c>
      <c r="IC162" s="174">
        <f t="shared" ref="IC162:IC202" si="174">IC161+2</f>
        <v>360</v>
      </c>
      <c r="ID162" s="174">
        <f t="shared" ref="ID162:ID202" si="175">ID161+1</f>
        <v>220</v>
      </c>
      <c r="IE162" s="174">
        <f t="shared" ref="IE162:IE202" si="176">IE161+2</f>
        <v>350</v>
      </c>
      <c r="IF162" s="174">
        <f t="shared" ref="IF162:IF202" si="177">IF161+1</f>
        <v>220</v>
      </c>
      <c r="IG162" s="174">
        <f t="shared" ref="IG162:IG202" si="178">IG161+1</f>
        <v>200</v>
      </c>
      <c r="IH162" s="174">
        <f t="shared" ref="IH162:IH202" si="179">IH161+1</f>
        <v>190</v>
      </c>
      <c r="II162" s="174">
        <f t="shared" ref="II162:II202" si="180">II161+1</f>
        <v>170</v>
      </c>
      <c r="IJ162" s="182">
        <v>162</v>
      </c>
    </row>
    <row r="163" spans="1:261" ht="13.35" customHeight="1" x14ac:dyDescent="0.2">
      <c r="E163" s="217" t="s">
        <v>1807</v>
      </c>
      <c r="F163" s="174" t="s">
        <v>782</v>
      </c>
      <c r="G163" s="174" t="s">
        <v>783</v>
      </c>
      <c r="H163" s="174" t="s">
        <v>784</v>
      </c>
      <c r="I163" s="174" t="s">
        <v>785</v>
      </c>
      <c r="J163" s="174" t="s">
        <v>786</v>
      </c>
      <c r="K163" s="174" t="s">
        <v>787</v>
      </c>
      <c r="L163" s="174" t="s">
        <v>788</v>
      </c>
      <c r="M163" s="174" t="s">
        <v>789</v>
      </c>
      <c r="N163" s="174" t="s">
        <v>790</v>
      </c>
      <c r="O163" s="174" t="s">
        <v>791</v>
      </c>
      <c r="P163" s="174" t="s">
        <v>792</v>
      </c>
      <c r="Q163" s="174" t="s">
        <v>793</v>
      </c>
      <c r="R163" s="174" t="s">
        <v>794</v>
      </c>
      <c r="S163" s="174" t="s">
        <v>182</v>
      </c>
      <c r="T163" s="174" t="s">
        <v>795</v>
      </c>
      <c r="U163" s="174" t="s">
        <v>796</v>
      </c>
      <c r="V163" s="174" t="s">
        <v>797</v>
      </c>
      <c r="W163" s="174" t="s">
        <v>798</v>
      </c>
      <c r="X163" s="174" t="s">
        <v>799</v>
      </c>
      <c r="Y163" s="174" t="s">
        <v>800</v>
      </c>
      <c r="AA163" s="174" t="str">
        <f>AA158</f>
        <v>Arcanist (AC)</v>
      </c>
      <c r="AB163" s="174" t="str">
        <f>AB158</f>
        <v>Wizard (AC)</v>
      </c>
      <c r="AC163" s="174" t="str">
        <f>AC158</f>
        <v>Chaotic (AC)</v>
      </c>
      <c r="AD163" s="174" t="str">
        <f>AD158</f>
        <v>Magehunter (AC)</v>
      </c>
      <c r="AF163" s="174" t="s">
        <v>805</v>
      </c>
      <c r="AG163" s="174" t="s">
        <v>806</v>
      </c>
      <c r="AH163" s="174" t="s">
        <v>807</v>
      </c>
      <c r="AJ163" s="174" t="s">
        <v>808</v>
      </c>
      <c r="AK163" s="174" t="s">
        <v>809</v>
      </c>
      <c r="AL163" s="174" t="s">
        <v>810</v>
      </c>
      <c r="AM163" s="174" t="s">
        <v>811</v>
      </c>
      <c r="AO163" s="174" t="s">
        <v>812</v>
      </c>
      <c r="AP163" s="174" t="s">
        <v>813</v>
      </c>
      <c r="AQ163" s="174" t="s">
        <v>814</v>
      </c>
      <c r="AS163" s="174" t="s">
        <v>815</v>
      </c>
      <c r="AT163" s="174" t="s">
        <v>816</v>
      </c>
      <c r="AU163" s="174" t="s">
        <v>817</v>
      </c>
      <c r="AV163" s="174" t="s">
        <v>818</v>
      </c>
      <c r="AW163" s="174" t="s">
        <v>819</v>
      </c>
      <c r="AX163" s="174" t="s">
        <v>820</v>
      </c>
      <c r="AY163" s="174" t="s">
        <v>821</v>
      </c>
      <c r="AZ163" s="174" t="s">
        <v>822</v>
      </c>
      <c r="BA163" s="174" t="str">
        <f t="shared" ref="BA163:CQ163" si="181">BA158</f>
        <v>Priest of Culture</v>
      </c>
      <c r="BB163" s="174" t="str">
        <f t="shared" si="181"/>
        <v>Priest of Darkness, Night</v>
      </c>
      <c r="BC163" s="174" t="str">
        <f t="shared" si="181"/>
        <v>Priest of Dawn</v>
      </c>
      <c r="BD163" s="174" t="str">
        <f t="shared" si="181"/>
        <v>Priest of Death</v>
      </c>
      <c r="BE163" s="174" t="str">
        <f t="shared" si="181"/>
        <v>Priest of Disease</v>
      </c>
      <c r="BF163" s="174" t="str">
        <f t="shared" si="181"/>
        <v>Priest of Earth</v>
      </c>
      <c r="BG163" s="174" t="str">
        <f t="shared" si="181"/>
        <v>Priest of Fate, Destiny</v>
      </c>
      <c r="BH163" s="174" t="str">
        <f t="shared" si="181"/>
        <v>Priest of Fertility</v>
      </c>
      <c r="BI163" s="174" t="str">
        <f t="shared" si="181"/>
        <v>Priest of Fire</v>
      </c>
      <c r="BJ163" s="174" t="str">
        <f t="shared" si="181"/>
        <v>Priest of Fortune, Luck</v>
      </c>
      <c r="BK163" s="174" t="str">
        <f t="shared" si="181"/>
        <v>Priest of Guardianship</v>
      </c>
      <c r="BL163" s="174" t="str">
        <f t="shared" si="181"/>
        <v>Priest of Healing</v>
      </c>
      <c r="BM163" s="174" t="str">
        <f t="shared" si="181"/>
        <v>Priest of Hunting</v>
      </c>
      <c r="BN163" s="174" t="str">
        <f t="shared" si="181"/>
        <v>Priest of Justice, Revenge</v>
      </c>
      <c r="BO163" s="174" t="str">
        <f t="shared" si="181"/>
        <v>Priest of Light</v>
      </c>
      <c r="BP163" s="174" t="str">
        <f t="shared" si="181"/>
        <v>Priest of Lightning</v>
      </c>
      <c r="BQ163" s="174" t="str">
        <f t="shared" si="181"/>
        <v>Priest of Literature</v>
      </c>
      <c r="BR163" s="174" t="str">
        <f t="shared" si="181"/>
        <v>Priest of Love</v>
      </c>
      <c r="BS163" s="174" t="str">
        <f t="shared" si="181"/>
        <v>Priest of Magic</v>
      </c>
      <c r="BT163" s="174" t="str">
        <f t="shared" si="181"/>
        <v>Priest of Marriage</v>
      </c>
      <c r="BU163" s="174" t="str">
        <f t="shared" si="181"/>
        <v>Priest of Messengers</v>
      </c>
      <c r="BV163" s="174" t="str">
        <f t="shared" si="181"/>
        <v>Priest of Metalwork</v>
      </c>
      <c r="BW163" s="174" t="str">
        <f t="shared" si="181"/>
        <v>Priest of Mischief/Trickery</v>
      </c>
      <c r="BX163" s="174" t="str">
        <f t="shared" si="181"/>
        <v>Priest of Moon</v>
      </c>
      <c r="BY163" s="174" t="str">
        <f t="shared" si="181"/>
        <v>Priest of Music, Dance</v>
      </c>
      <c r="BZ163" s="174" t="str">
        <f t="shared" si="181"/>
        <v>Priest of Nature</v>
      </c>
      <c r="CA163" s="174" t="str">
        <f t="shared" si="181"/>
        <v>Priest of Ocean, Rivers</v>
      </c>
      <c r="CB163" s="174" t="str">
        <f t="shared" si="181"/>
        <v>Priest of Oracles</v>
      </c>
      <c r="CC163" s="174" t="str">
        <f t="shared" si="181"/>
        <v>Priest of Peace</v>
      </c>
      <c r="CD163" s="174" t="str">
        <f t="shared" si="181"/>
        <v>Priest of Prosperity</v>
      </c>
      <c r="CE163" s="174" t="str">
        <f t="shared" si="181"/>
        <v>Priest of Redemption</v>
      </c>
      <c r="CF163" s="174" t="str">
        <f t="shared" si="181"/>
        <v>Priest of Rulership</v>
      </c>
      <c r="CG163" s="174" t="str">
        <f t="shared" si="181"/>
        <v>Priest of Seasons</v>
      </c>
      <c r="CH163" s="174" t="str">
        <f t="shared" si="181"/>
        <v>Priest of Sky, Weather</v>
      </c>
      <c r="CI163" s="174" t="str">
        <f t="shared" si="181"/>
        <v>Priest of Strength</v>
      </c>
      <c r="CJ163" s="174" t="str">
        <f t="shared" si="181"/>
        <v>Priest of Sun</v>
      </c>
      <c r="CK163" s="174" t="str">
        <f t="shared" si="181"/>
        <v>Priest of Thunder</v>
      </c>
      <c r="CL163" s="174" t="str">
        <f t="shared" si="181"/>
        <v>Priest of Time</v>
      </c>
      <c r="CM163" s="174" t="str">
        <f t="shared" si="181"/>
        <v>Priest of Trade</v>
      </c>
      <c r="CN163" s="174" t="str">
        <f t="shared" si="181"/>
        <v>Priest of Vegetation</v>
      </c>
      <c r="CO163" s="174" t="str">
        <f t="shared" si="181"/>
        <v>Priest of War</v>
      </c>
      <c r="CP163" s="174" t="str">
        <f t="shared" si="181"/>
        <v>Priest of Wind</v>
      </c>
      <c r="CQ163" s="174" t="str">
        <f t="shared" si="181"/>
        <v>Priest of Wisdom</v>
      </c>
      <c r="CS163" s="174" t="str">
        <f>CS158</f>
        <v>Barbarian (FRP)</v>
      </c>
      <c r="CT163" s="174" t="str">
        <f>CT158</f>
        <v>Outrider (FRP)</v>
      </c>
      <c r="CU163" s="174" t="str">
        <f>CU158</f>
        <v>Sage (FRP)</v>
      </c>
      <c r="CV163" s="174" t="str">
        <f>CV158</f>
        <v>Swashbuckler (FRP)</v>
      </c>
      <c r="CX163" s="174" t="s">
        <v>870</v>
      </c>
      <c r="CY163" s="174" t="s">
        <v>871</v>
      </c>
      <c r="CZ163" s="174" t="s">
        <v>872</v>
      </c>
      <c r="DA163" s="174" t="s">
        <v>1149</v>
      </c>
      <c r="DB163" s="174" t="s">
        <v>874</v>
      </c>
      <c r="DC163" s="174" t="s">
        <v>875</v>
      </c>
      <c r="DD163" s="174" t="s">
        <v>876</v>
      </c>
      <c r="DE163" s="174" t="str">
        <f>DE158</f>
        <v>NEW PROF</v>
      </c>
      <c r="DF163" s="174">
        <v>1</v>
      </c>
      <c r="EO163" s="174" t="s">
        <v>1808</v>
      </c>
      <c r="EP163" s="174" t="s">
        <v>1809</v>
      </c>
      <c r="EQ163" s="174" t="s">
        <v>1809</v>
      </c>
      <c r="ER163" s="174" t="s">
        <v>1809</v>
      </c>
      <c r="ES163" s="174" t="s">
        <v>1809</v>
      </c>
      <c r="ET163" s="174" t="s">
        <v>1809</v>
      </c>
      <c r="EU163" s="174" t="s">
        <v>1856</v>
      </c>
      <c r="EV163" s="174" t="s">
        <v>1809</v>
      </c>
      <c r="EW163" s="174" t="s">
        <v>1809</v>
      </c>
      <c r="EX163" s="174" t="s">
        <v>1809</v>
      </c>
      <c r="EY163" s="174" t="s">
        <v>1809</v>
      </c>
      <c r="EZ163" s="174" t="s">
        <v>1809</v>
      </c>
      <c r="FA163" s="174" t="s">
        <v>1809</v>
      </c>
      <c r="FB163" s="174" t="s">
        <v>1809</v>
      </c>
      <c r="FC163" s="174" t="s">
        <v>1809</v>
      </c>
      <c r="FD163" s="174" t="s">
        <v>1809</v>
      </c>
      <c r="FE163" s="174" t="s">
        <v>1809</v>
      </c>
      <c r="FF163" s="174" t="s">
        <v>1809</v>
      </c>
      <c r="FG163" s="174" t="s">
        <v>1866</v>
      </c>
      <c r="FH163" s="174" t="s">
        <v>1828</v>
      </c>
      <c r="FI163" s="174" t="s">
        <v>1809</v>
      </c>
      <c r="FJ163" s="174" t="s">
        <v>1809</v>
      </c>
      <c r="FK163" s="174" t="s">
        <v>1811</v>
      </c>
      <c r="FL163" s="174" t="s">
        <v>1811</v>
      </c>
      <c r="FM163" s="174" t="s">
        <v>1808</v>
      </c>
      <c r="FN163" s="174" t="s">
        <v>1809</v>
      </c>
      <c r="FO163" s="174" t="s">
        <v>1809</v>
      </c>
      <c r="FP163" s="174" t="s">
        <v>1809</v>
      </c>
      <c r="FQ163" s="174" t="s">
        <v>1809</v>
      </c>
      <c r="FR163" s="174" t="s">
        <v>1828</v>
      </c>
      <c r="FS163" s="174" t="s">
        <v>1809</v>
      </c>
      <c r="FT163" s="174" t="s">
        <v>1811</v>
      </c>
      <c r="FU163" s="174" t="s">
        <v>1809</v>
      </c>
      <c r="FV163" s="174" t="s">
        <v>1808</v>
      </c>
      <c r="FW163" s="174" t="s">
        <v>1841</v>
      </c>
      <c r="FX163" s="174" t="s">
        <v>1810</v>
      </c>
      <c r="FY163" s="174" t="s">
        <v>1812</v>
      </c>
      <c r="FZ163" s="174" t="s">
        <v>1809</v>
      </c>
      <c r="HA163" s="174">
        <v>2</v>
      </c>
      <c r="HB163" s="197">
        <v>160</v>
      </c>
      <c r="HC163" s="194">
        <v>100</v>
      </c>
      <c r="HD163" s="238">
        <v>125</v>
      </c>
      <c r="HE163" s="236">
        <v>25</v>
      </c>
      <c r="HF163" s="183">
        <v>225</v>
      </c>
      <c r="HG163" s="193">
        <f t="shared" si="152"/>
        <v>220</v>
      </c>
      <c r="HH163" s="192" t="e">
        <f t="shared" si="153"/>
        <v>#REF!</v>
      </c>
      <c r="HI163" s="198">
        <v>25</v>
      </c>
      <c r="HJ163" s="185">
        <v>170</v>
      </c>
      <c r="HK163" s="174">
        <v>161</v>
      </c>
      <c r="HL163" s="174">
        <f t="shared" si="157"/>
        <v>714</v>
      </c>
      <c r="HM163" s="174">
        <f t="shared" si="158"/>
        <v>704</v>
      </c>
      <c r="HN163" s="174">
        <f t="shared" si="159"/>
        <v>553</v>
      </c>
      <c r="HO163" s="174">
        <f t="shared" si="160"/>
        <v>412</v>
      </c>
      <c r="HP163" s="174">
        <f t="shared" si="161"/>
        <v>281</v>
      </c>
      <c r="HQ163" s="174">
        <f t="shared" si="162"/>
        <v>271</v>
      </c>
      <c r="HR163" s="174">
        <f t="shared" si="163"/>
        <v>271</v>
      </c>
      <c r="HS163" s="174">
        <f t="shared" si="164"/>
        <v>261</v>
      </c>
      <c r="HT163" s="174">
        <f t="shared" si="165"/>
        <v>251</v>
      </c>
      <c r="HU163" s="174">
        <f t="shared" si="166"/>
        <v>543</v>
      </c>
      <c r="HV163" s="174">
        <f t="shared" si="167"/>
        <v>271</v>
      </c>
      <c r="HW163" s="174">
        <f t="shared" si="168"/>
        <v>261</v>
      </c>
      <c r="HX163" s="174">
        <f t="shared" si="169"/>
        <v>392</v>
      </c>
      <c r="HY163" s="174">
        <f t="shared" si="170"/>
        <v>251</v>
      </c>
      <c r="HZ163" s="174">
        <f t="shared" si="171"/>
        <v>241</v>
      </c>
      <c r="IA163" s="174">
        <f t="shared" si="172"/>
        <v>231</v>
      </c>
      <c r="IB163" s="174">
        <f t="shared" si="173"/>
        <v>382</v>
      </c>
      <c r="IC163" s="174">
        <f t="shared" si="174"/>
        <v>362</v>
      </c>
      <c r="ID163" s="174">
        <f t="shared" si="175"/>
        <v>221</v>
      </c>
      <c r="IE163" s="174">
        <f t="shared" si="176"/>
        <v>352</v>
      </c>
      <c r="IF163" s="174">
        <f t="shared" si="177"/>
        <v>221</v>
      </c>
      <c r="IG163" s="174">
        <f t="shared" si="178"/>
        <v>201</v>
      </c>
      <c r="IH163" s="174">
        <f t="shared" si="179"/>
        <v>191</v>
      </c>
      <c r="II163" s="174">
        <f t="shared" si="180"/>
        <v>171</v>
      </c>
      <c r="IJ163" s="174">
        <v>163</v>
      </c>
    </row>
    <row r="164" spans="1:261" ht="13.35" customHeight="1" x14ac:dyDescent="0.2">
      <c r="A164" s="174">
        <v>1</v>
      </c>
      <c r="B164" s="174">
        <v>2</v>
      </c>
      <c r="E164" s="207"/>
      <c r="F164" s="218" t="s">
        <v>248</v>
      </c>
      <c r="G164" s="218" t="s">
        <v>581</v>
      </c>
      <c r="H164" s="218" t="s">
        <v>248</v>
      </c>
      <c r="I164" s="218" t="s">
        <v>248</v>
      </c>
      <c r="J164" s="218" t="s">
        <v>1815</v>
      </c>
      <c r="K164" s="218" t="s">
        <v>248</v>
      </c>
      <c r="L164" s="218" t="s">
        <v>248</v>
      </c>
      <c r="M164" s="218" t="s">
        <v>1703</v>
      </c>
      <c r="N164" s="218" t="s">
        <v>1137</v>
      </c>
      <c r="O164" s="218" t="s">
        <v>248</v>
      </c>
      <c r="P164" s="218" t="s">
        <v>681</v>
      </c>
      <c r="Q164" s="218" t="s">
        <v>602</v>
      </c>
      <c r="R164" s="218" t="s">
        <v>248</v>
      </c>
      <c r="S164" s="218" t="s">
        <v>248</v>
      </c>
      <c r="T164" s="218" t="s">
        <v>248</v>
      </c>
      <c r="U164" s="218" t="s">
        <v>1703</v>
      </c>
      <c r="V164" s="218" t="s">
        <v>650</v>
      </c>
      <c r="W164" s="218" t="s">
        <v>581</v>
      </c>
      <c r="X164" s="218" t="s">
        <v>248</v>
      </c>
      <c r="Y164" s="218" t="s">
        <v>248</v>
      </c>
      <c r="Z164" s="218"/>
      <c r="AA164" s="218" t="s">
        <v>248</v>
      </c>
      <c r="AB164" s="218" t="s">
        <v>248</v>
      </c>
      <c r="AC164" s="218" t="s">
        <v>248</v>
      </c>
      <c r="AD164" s="218" t="s">
        <v>248</v>
      </c>
      <c r="AE164" s="218"/>
      <c r="AF164" s="218" t="s">
        <v>1816</v>
      </c>
      <c r="AG164" s="218" t="s">
        <v>248</v>
      </c>
      <c r="AH164" s="218" t="s">
        <v>248</v>
      </c>
      <c r="AI164" s="218"/>
      <c r="AJ164" s="218" t="s">
        <v>1817</v>
      </c>
      <c r="AK164" s="218" t="s">
        <v>248</v>
      </c>
      <c r="AL164" s="218" t="s">
        <v>619</v>
      </c>
      <c r="AM164" s="218" t="s">
        <v>634</v>
      </c>
      <c r="AN164" s="218"/>
      <c r="AO164" s="218" t="s">
        <v>248</v>
      </c>
      <c r="AP164" s="218" t="s">
        <v>248</v>
      </c>
      <c r="AQ164" s="218" t="s">
        <v>1703</v>
      </c>
      <c r="AR164" s="218"/>
      <c r="AS164" s="218" t="s">
        <v>531</v>
      </c>
      <c r="AT164" s="218" t="s">
        <v>1290</v>
      </c>
      <c r="AU164" s="218" t="s">
        <v>1177</v>
      </c>
      <c r="AV164" s="218" t="s">
        <v>1818</v>
      </c>
      <c r="AW164" s="218" t="s">
        <v>711</v>
      </c>
      <c r="AX164" s="218" t="s">
        <v>1290</v>
      </c>
      <c r="AY164" s="218" t="s">
        <v>1819</v>
      </c>
      <c r="AZ164" s="218" t="s">
        <v>1820</v>
      </c>
      <c r="BA164" s="218" t="s">
        <v>248</v>
      </c>
      <c r="BB164" s="218" t="s">
        <v>1140</v>
      </c>
      <c r="BC164" s="218" t="s">
        <v>494</v>
      </c>
      <c r="BD164" s="218" t="s">
        <v>1703</v>
      </c>
      <c r="BE164" s="218" t="s">
        <v>1137</v>
      </c>
      <c r="BF164" s="218" t="s">
        <v>1821</v>
      </c>
      <c r="BG164" s="218" t="s">
        <v>1307</v>
      </c>
      <c r="BH164" s="218" t="s">
        <v>1137</v>
      </c>
      <c r="BI164" s="218" t="s">
        <v>1124</v>
      </c>
      <c r="BJ164" s="218" t="s">
        <v>1307</v>
      </c>
      <c r="BK164" s="218" t="s">
        <v>480</v>
      </c>
      <c r="BL164" s="218" t="s">
        <v>681</v>
      </c>
      <c r="BM164" s="218" t="s">
        <v>1139</v>
      </c>
      <c r="BN164" s="218" t="s">
        <v>491</v>
      </c>
      <c r="BO164" s="218" t="s">
        <v>494</v>
      </c>
      <c r="BP164" s="218" t="s">
        <v>616</v>
      </c>
      <c r="BQ164" s="218" t="s">
        <v>248</v>
      </c>
      <c r="BR164" s="218" t="s">
        <v>1137</v>
      </c>
      <c r="BS164" s="218" t="s">
        <v>571</v>
      </c>
      <c r="BT164" s="218" t="s">
        <v>1703</v>
      </c>
      <c r="BU164" s="218" t="s">
        <v>248</v>
      </c>
      <c r="BV164" s="218" t="s">
        <v>1822</v>
      </c>
      <c r="BW164" s="218" t="s">
        <v>667</v>
      </c>
      <c r="BX164" s="218" t="s">
        <v>1308</v>
      </c>
      <c r="BY164" s="218" t="s">
        <v>1823</v>
      </c>
      <c r="BZ164" s="218" t="s">
        <v>531</v>
      </c>
      <c r="CA164" s="218" t="s">
        <v>452</v>
      </c>
      <c r="CB164" s="218" t="s">
        <v>619</v>
      </c>
      <c r="CC164" s="218" t="s">
        <v>1824</v>
      </c>
      <c r="CD164" s="218" t="s">
        <v>702</v>
      </c>
      <c r="CE164" s="218" t="s">
        <v>1703</v>
      </c>
      <c r="CF164" s="218" t="s">
        <v>1825</v>
      </c>
      <c r="CG164" s="218" t="s">
        <v>616</v>
      </c>
      <c r="CH164" s="218" t="s">
        <v>616</v>
      </c>
      <c r="CI164" s="218" t="s">
        <v>1826</v>
      </c>
      <c r="CJ164" s="218" t="s">
        <v>681</v>
      </c>
      <c r="CK164" s="218" t="s">
        <v>616</v>
      </c>
      <c r="CL164" s="218" t="s">
        <v>1290</v>
      </c>
      <c r="CM164" s="218" t="s">
        <v>555</v>
      </c>
      <c r="CN164" s="218" t="s">
        <v>1137</v>
      </c>
      <c r="CO164" s="218" t="s">
        <v>695</v>
      </c>
      <c r="CP164" s="218" t="s">
        <v>616</v>
      </c>
      <c r="CQ164" s="218" t="s">
        <v>1703</v>
      </c>
      <c r="CR164" s="218"/>
      <c r="CS164" s="218" t="s">
        <v>248</v>
      </c>
      <c r="CT164" s="218" t="s">
        <v>248</v>
      </c>
      <c r="CU164" s="218" t="s">
        <v>629</v>
      </c>
      <c r="CV164" s="218" t="s">
        <v>514</v>
      </c>
      <c r="CW164" s="218"/>
      <c r="CX164" s="218" t="s">
        <v>681</v>
      </c>
      <c r="CY164" s="218" t="s">
        <v>1703</v>
      </c>
      <c r="CZ164" s="218" t="s">
        <v>1137</v>
      </c>
      <c r="DA164" s="218"/>
      <c r="DB164" s="218" t="s">
        <v>1827</v>
      </c>
      <c r="DC164" s="218" t="s">
        <v>1827</v>
      </c>
      <c r="DD164" s="218" t="s">
        <v>1827</v>
      </c>
      <c r="DE164" s="218"/>
      <c r="DF164" s="174">
        <v>2</v>
      </c>
      <c r="EO164" s="174" t="s">
        <v>1848</v>
      </c>
      <c r="EP164" s="174" t="s">
        <v>1808</v>
      </c>
      <c r="EQ164" s="174" t="s">
        <v>1808</v>
      </c>
      <c r="ER164" s="174" t="s">
        <v>1811</v>
      </c>
      <c r="ES164" s="174" t="s">
        <v>1811</v>
      </c>
      <c r="ET164" s="174" t="s">
        <v>1811</v>
      </c>
      <c r="EU164" s="174" t="s">
        <v>1809</v>
      </c>
      <c r="EV164" s="174" t="s">
        <v>1808</v>
      </c>
      <c r="EW164" s="174" t="s">
        <v>1808</v>
      </c>
      <c r="EX164" s="174" t="s">
        <v>1808</v>
      </c>
      <c r="EY164" s="174" t="s">
        <v>1811</v>
      </c>
      <c r="EZ164" s="174" t="s">
        <v>1811</v>
      </c>
      <c r="FA164" s="174" t="s">
        <v>1811</v>
      </c>
      <c r="FB164" s="174" t="s">
        <v>1836</v>
      </c>
      <c r="FC164" s="174" t="s">
        <v>1811</v>
      </c>
      <c r="FD164" s="174" t="s">
        <v>1811</v>
      </c>
      <c r="FE164" s="174" t="s">
        <v>1811</v>
      </c>
      <c r="FF164" s="174" t="s">
        <v>1811</v>
      </c>
      <c r="FG164" s="174" t="s">
        <v>1877</v>
      </c>
      <c r="FH164" s="174" t="s">
        <v>1839</v>
      </c>
      <c r="FI164" s="174" t="s">
        <v>1808</v>
      </c>
      <c r="FJ164" s="174" t="s">
        <v>1808</v>
      </c>
      <c r="FK164" s="174" t="s">
        <v>1809</v>
      </c>
      <c r="FL164" s="174" t="s">
        <v>1809</v>
      </c>
      <c r="FM164" s="174" t="s">
        <v>1812</v>
      </c>
      <c r="FN164" s="174" t="s">
        <v>1808</v>
      </c>
      <c r="FO164" s="174" t="s">
        <v>1828</v>
      </c>
      <c r="FP164" s="174" t="s">
        <v>1850</v>
      </c>
      <c r="FQ164" s="174" t="s">
        <v>1808</v>
      </c>
      <c r="FR164" s="174" t="s">
        <v>1839</v>
      </c>
      <c r="FS164" s="174" t="s">
        <v>1808</v>
      </c>
      <c r="FT164" s="174" t="s">
        <v>1841</v>
      </c>
      <c r="FU164" s="174" t="s">
        <v>1828</v>
      </c>
      <c r="FV164" s="174" t="s">
        <v>1812</v>
      </c>
      <c r="FW164" s="174" t="s">
        <v>1812</v>
      </c>
      <c r="FX164" s="174" t="s">
        <v>1808</v>
      </c>
      <c r="FY164" s="174" t="s">
        <v>1809</v>
      </c>
      <c r="FZ164" s="174" t="s">
        <v>1828</v>
      </c>
      <c r="HA164" s="174">
        <v>3</v>
      </c>
      <c r="HB164" s="197">
        <v>161</v>
      </c>
      <c r="HC164" s="194">
        <v>101</v>
      </c>
      <c r="HD164" s="238">
        <v>125.5</v>
      </c>
      <c r="HE164" s="236">
        <v>25</v>
      </c>
      <c r="HF164" s="183">
        <v>226</v>
      </c>
      <c r="HG164" s="193">
        <f t="shared" si="152"/>
        <v>221</v>
      </c>
      <c r="HH164" s="192" t="e">
        <f t="shared" ref="HH164:HH195" si="182">HLOOKUP($B$155,$HK$1:$IK$202,$IJ163,0)</f>
        <v>#REF!</v>
      </c>
      <c r="HI164" s="198">
        <v>25</v>
      </c>
      <c r="HJ164" s="185">
        <v>170.5</v>
      </c>
      <c r="HK164" s="174">
        <v>162</v>
      </c>
      <c r="HL164" s="174">
        <f t="shared" si="157"/>
        <v>718</v>
      </c>
      <c r="HM164" s="174">
        <f t="shared" si="158"/>
        <v>708</v>
      </c>
      <c r="HN164" s="174">
        <f t="shared" si="159"/>
        <v>556</v>
      </c>
      <c r="HO164" s="174">
        <f t="shared" si="160"/>
        <v>414</v>
      </c>
      <c r="HP164" s="174">
        <f t="shared" si="161"/>
        <v>282</v>
      </c>
      <c r="HQ164" s="174">
        <f t="shared" si="162"/>
        <v>272</v>
      </c>
      <c r="HR164" s="174">
        <f t="shared" si="163"/>
        <v>272</v>
      </c>
      <c r="HS164" s="174">
        <f t="shared" si="164"/>
        <v>262</v>
      </c>
      <c r="HT164" s="174">
        <f t="shared" si="165"/>
        <v>252</v>
      </c>
      <c r="HU164" s="174">
        <f t="shared" si="166"/>
        <v>546</v>
      </c>
      <c r="HV164" s="174">
        <f t="shared" si="167"/>
        <v>272</v>
      </c>
      <c r="HW164" s="174">
        <f t="shared" si="168"/>
        <v>262</v>
      </c>
      <c r="HX164" s="174">
        <f t="shared" si="169"/>
        <v>394</v>
      </c>
      <c r="HY164" s="174">
        <f t="shared" si="170"/>
        <v>252</v>
      </c>
      <c r="HZ164" s="174">
        <f t="shared" si="171"/>
        <v>242</v>
      </c>
      <c r="IA164" s="174">
        <f t="shared" si="172"/>
        <v>232</v>
      </c>
      <c r="IB164" s="174">
        <f t="shared" si="173"/>
        <v>384</v>
      </c>
      <c r="IC164" s="174">
        <f t="shared" si="174"/>
        <v>364</v>
      </c>
      <c r="ID164" s="174">
        <f t="shared" si="175"/>
        <v>222</v>
      </c>
      <c r="IE164" s="174">
        <f t="shared" si="176"/>
        <v>354</v>
      </c>
      <c r="IF164" s="174">
        <f t="shared" si="177"/>
        <v>222</v>
      </c>
      <c r="IG164" s="174">
        <f t="shared" si="178"/>
        <v>202</v>
      </c>
      <c r="IH164" s="174">
        <f t="shared" si="179"/>
        <v>192</v>
      </c>
      <c r="II164" s="174">
        <f t="shared" si="180"/>
        <v>172</v>
      </c>
      <c r="IJ164" s="174">
        <v>164</v>
      </c>
    </row>
    <row r="165" spans="1:261" s="218" customFormat="1" ht="13.35" customHeight="1" x14ac:dyDescent="0.2">
      <c r="A165" s="174" t="s">
        <v>1833</v>
      </c>
      <c r="B165" s="174" t="s">
        <v>1834</v>
      </c>
      <c r="C165" s="174"/>
      <c r="D165" s="174"/>
      <c r="E165" s="207"/>
      <c r="M165" s="218" t="s">
        <v>619</v>
      </c>
      <c r="P165" s="218" t="s">
        <v>433</v>
      </c>
      <c r="Q165" s="218" t="s">
        <v>681</v>
      </c>
      <c r="AL165" s="218" t="s">
        <v>650</v>
      </c>
      <c r="AM165" s="218" t="s">
        <v>1307</v>
      </c>
      <c r="BB165" s="218" t="s">
        <v>634</v>
      </c>
      <c r="BG165" s="218" t="s">
        <v>619</v>
      </c>
      <c r="BH165" s="218" t="s">
        <v>1726</v>
      </c>
      <c r="BJ165" s="218" t="s">
        <v>634</v>
      </c>
      <c r="BK165" s="218" t="s">
        <v>1753</v>
      </c>
      <c r="BR165" s="218" t="s">
        <v>1726</v>
      </c>
      <c r="BW165" s="218" t="s">
        <v>549</v>
      </c>
      <c r="BX165" s="218" t="s">
        <v>1307</v>
      </c>
      <c r="BZ165" s="218" t="s">
        <v>561</v>
      </c>
      <c r="CI165" s="218" t="s">
        <v>1819</v>
      </c>
      <c r="CL165" s="218" t="s">
        <v>505</v>
      </c>
      <c r="CM165" s="218" t="s">
        <v>702</v>
      </c>
      <c r="CN165" s="218" t="s">
        <v>1726</v>
      </c>
      <c r="CO165" s="218" t="s">
        <v>1741</v>
      </c>
      <c r="CX165" s="218" t="s">
        <v>1137</v>
      </c>
      <c r="CY165" s="218" t="s">
        <v>619</v>
      </c>
      <c r="DF165" s="174">
        <v>3</v>
      </c>
      <c r="DG165" s="174"/>
      <c r="DH165" s="174"/>
      <c r="DI165" s="174"/>
      <c r="DJ165" s="174"/>
      <c r="DK165" s="174"/>
      <c r="DL165" s="174"/>
      <c r="DM165" s="174"/>
      <c r="DN165" s="174"/>
      <c r="DO165" s="174"/>
      <c r="DP165" s="174"/>
      <c r="DQ165" s="174"/>
      <c r="DR165" s="174"/>
      <c r="DS165" s="174"/>
      <c r="DT165" s="174"/>
      <c r="DU165" s="174"/>
      <c r="DV165" s="174"/>
      <c r="DW165" s="174"/>
      <c r="DX165" s="174"/>
      <c r="DY165" s="174"/>
      <c r="DZ165" s="174"/>
      <c r="EA165" s="174"/>
      <c r="EB165" s="174"/>
      <c r="EC165" s="174"/>
      <c r="ED165" s="174"/>
      <c r="EE165" s="174"/>
      <c r="EF165" s="174"/>
      <c r="EG165" s="174"/>
      <c r="EH165" s="174"/>
      <c r="EI165" s="174"/>
      <c r="EJ165" s="174"/>
      <c r="EK165" s="174"/>
      <c r="EL165" s="174"/>
      <c r="EM165" s="174"/>
      <c r="EN165" s="174"/>
      <c r="EO165" s="174" t="s">
        <v>1850</v>
      </c>
      <c r="EP165" s="174" t="s">
        <v>1835</v>
      </c>
      <c r="EQ165" s="174" t="s">
        <v>1835</v>
      </c>
      <c r="ER165" s="174" t="s">
        <v>1836</v>
      </c>
      <c r="ES165" s="174" t="s">
        <v>1836</v>
      </c>
      <c r="ET165" s="174" t="s">
        <v>1836</v>
      </c>
      <c r="EU165" s="174" t="s">
        <v>1840</v>
      </c>
      <c r="EV165" s="174" t="s">
        <v>1838</v>
      </c>
      <c r="EW165" s="174" t="s">
        <v>1835</v>
      </c>
      <c r="EX165" s="174" t="s">
        <v>1837</v>
      </c>
      <c r="EY165" s="174" t="s">
        <v>1853</v>
      </c>
      <c r="EZ165" s="174" t="s">
        <v>1808</v>
      </c>
      <c r="FA165" s="174" t="s">
        <v>1836</v>
      </c>
      <c r="FB165" s="174" t="s">
        <v>1812</v>
      </c>
      <c r="FC165" s="174" t="s">
        <v>1836</v>
      </c>
      <c r="FD165" s="174" t="s">
        <v>1836</v>
      </c>
      <c r="FE165" s="174" t="s">
        <v>1836</v>
      </c>
      <c r="FF165" s="174" t="s">
        <v>1836</v>
      </c>
      <c r="FG165" s="174" t="s">
        <v>1830</v>
      </c>
      <c r="FH165" s="174" t="s">
        <v>1809</v>
      </c>
      <c r="FI165" s="174" t="s">
        <v>1838</v>
      </c>
      <c r="FJ165" s="174" t="s">
        <v>1838</v>
      </c>
      <c r="FK165" s="174" t="s">
        <v>1808</v>
      </c>
      <c r="FL165" s="174" t="s">
        <v>1808</v>
      </c>
      <c r="FM165" s="174" t="s">
        <v>1809</v>
      </c>
      <c r="FN165" s="174" t="s">
        <v>1836</v>
      </c>
      <c r="FO165" s="174" t="s">
        <v>1808</v>
      </c>
      <c r="FP165" s="174" t="s">
        <v>1846</v>
      </c>
      <c r="FQ165" s="174" t="s">
        <v>1838</v>
      </c>
      <c r="FR165" s="174" t="s">
        <v>1809</v>
      </c>
      <c r="FS165" s="174" t="s">
        <v>1838</v>
      </c>
      <c r="FT165" s="174" t="s">
        <v>1809</v>
      </c>
      <c r="FU165" s="174" t="s">
        <v>1808</v>
      </c>
      <c r="FV165" s="174" t="s">
        <v>1809</v>
      </c>
      <c r="FW165" s="174" t="s">
        <v>1811</v>
      </c>
      <c r="FX165" s="174" t="s">
        <v>1835</v>
      </c>
      <c r="FY165" s="174" t="s">
        <v>1811</v>
      </c>
      <c r="FZ165" s="174" t="s">
        <v>1808</v>
      </c>
      <c r="GA165" s="174"/>
      <c r="GB165" s="174"/>
      <c r="GC165" s="174"/>
      <c r="GD165" s="174"/>
      <c r="GE165" s="174"/>
      <c r="GF165" s="174"/>
      <c r="GG165" s="174"/>
      <c r="GH165" s="174"/>
      <c r="GI165" s="174"/>
      <c r="GJ165" s="174"/>
      <c r="GK165" s="174"/>
      <c r="GL165" s="174"/>
      <c r="GM165" s="174"/>
      <c r="GN165" s="174"/>
      <c r="GO165" s="174"/>
      <c r="GP165" s="174"/>
      <c r="GQ165" s="174"/>
      <c r="GR165" s="174"/>
      <c r="GS165" s="174"/>
      <c r="GT165" s="174"/>
      <c r="GU165" s="174"/>
      <c r="GV165" s="174"/>
      <c r="GW165" s="174"/>
      <c r="GX165" s="174"/>
      <c r="GY165" s="174"/>
      <c r="GZ165" s="174"/>
      <c r="HA165" s="174">
        <v>4</v>
      </c>
      <c r="HB165" s="197">
        <v>162</v>
      </c>
      <c r="HC165" s="194">
        <v>101</v>
      </c>
      <c r="HD165" s="238">
        <v>126</v>
      </c>
      <c r="HE165" s="236">
        <v>25</v>
      </c>
      <c r="HF165" s="183">
        <v>227</v>
      </c>
      <c r="HG165" s="193">
        <f t="shared" si="152"/>
        <v>222</v>
      </c>
      <c r="HH165" s="192" t="e">
        <f t="shared" si="182"/>
        <v>#REF!</v>
      </c>
      <c r="HI165" s="198">
        <v>25</v>
      </c>
      <c r="HJ165" s="185">
        <v>171</v>
      </c>
      <c r="HK165" s="174">
        <v>163</v>
      </c>
      <c r="HL165" s="174">
        <f t="shared" si="157"/>
        <v>722</v>
      </c>
      <c r="HM165" s="174">
        <f t="shared" si="158"/>
        <v>712</v>
      </c>
      <c r="HN165" s="174">
        <f t="shared" si="159"/>
        <v>559</v>
      </c>
      <c r="HO165" s="174">
        <f t="shared" si="160"/>
        <v>416</v>
      </c>
      <c r="HP165" s="174">
        <f t="shared" si="161"/>
        <v>283</v>
      </c>
      <c r="HQ165" s="174">
        <f t="shared" si="162"/>
        <v>273</v>
      </c>
      <c r="HR165" s="174">
        <f t="shared" si="163"/>
        <v>273</v>
      </c>
      <c r="HS165" s="174">
        <f t="shared" si="164"/>
        <v>263</v>
      </c>
      <c r="HT165" s="174">
        <f t="shared" si="165"/>
        <v>253</v>
      </c>
      <c r="HU165" s="174">
        <f t="shared" si="166"/>
        <v>549</v>
      </c>
      <c r="HV165" s="174">
        <f t="shared" si="167"/>
        <v>273</v>
      </c>
      <c r="HW165" s="174">
        <f t="shared" si="168"/>
        <v>263</v>
      </c>
      <c r="HX165" s="174">
        <f t="shared" si="169"/>
        <v>396</v>
      </c>
      <c r="HY165" s="174">
        <f t="shared" si="170"/>
        <v>253</v>
      </c>
      <c r="HZ165" s="174">
        <f t="shared" si="171"/>
        <v>243</v>
      </c>
      <c r="IA165" s="174">
        <f t="shared" si="172"/>
        <v>233</v>
      </c>
      <c r="IB165" s="174">
        <f t="shared" si="173"/>
        <v>386</v>
      </c>
      <c r="IC165" s="174">
        <f t="shared" si="174"/>
        <v>366</v>
      </c>
      <c r="ID165" s="174">
        <f t="shared" si="175"/>
        <v>223</v>
      </c>
      <c r="IE165" s="174">
        <f t="shared" si="176"/>
        <v>356</v>
      </c>
      <c r="IF165" s="174">
        <f t="shared" si="177"/>
        <v>223</v>
      </c>
      <c r="IG165" s="174">
        <f t="shared" si="178"/>
        <v>203</v>
      </c>
      <c r="IH165" s="174">
        <f t="shared" si="179"/>
        <v>193</v>
      </c>
      <c r="II165" s="174">
        <f t="shared" si="180"/>
        <v>173</v>
      </c>
      <c r="IJ165" s="174">
        <v>165</v>
      </c>
      <c r="IK165" s="174"/>
      <c r="IL165" s="174"/>
      <c r="IM165" s="174"/>
      <c r="IN165" s="174"/>
      <c r="IO165" s="174"/>
      <c r="IP165" s="174"/>
      <c r="IQ165" s="174"/>
      <c r="IR165" s="174"/>
      <c r="IS165" s="174"/>
      <c r="IT165" s="174"/>
      <c r="IU165" s="174"/>
      <c r="IV165" s="174"/>
      <c r="IW165" s="174"/>
      <c r="IX165" s="174"/>
      <c r="IY165" s="174"/>
      <c r="IZ165" s="174"/>
      <c r="JA165" s="174"/>
    </row>
    <row r="166" spans="1:261" s="218" customFormat="1" ht="13.35" customHeight="1" x14ac:dyDescent="0.2">
      <c r="A166" s="174">
        <v>20</v>
      </c>
      <c r="B166" s="174">
        <f>A166+44</f>
        <v>64</v>
      </c>
      <c r="C166" s="174"/>
      <c r="D166" s="174"/>
      <c r="E166" s="207"/>
      <c r="AM166" s="218" t="s">
        <v>616</v>
      </c>
      <c r="BG166" s="218" t="s">
        <v>634</v>
      </c>
      <c r="BZ166" s="218" t="s">
        <v>560</v>
      </c>
      <c r="CN166" s="218" t="s">
        <v>561</v>
      </c>
      <c r="DF166" s="174">
        <v>4</v>
      </c>
      <c r="DG166" s="174"/>
      <c r="DH166" s="174"/>
      <c r="DI166" s="174"/>
      <c r="DJ166" s="174"/>
      <c r="DK166" s="174"/>
      <c r="DL166" s="174"/>
      <c r="DM166" s="174"/>
      <c r="DN166" s="174"/>
      <c r="DO166" s="174"/>
      <c r="DP166" s="174"/>
      <c r="DQ166" s="174"/>
      <c r="DR166" s="174"/>
      <c r="DS166" s="174"/>
      <c r="DT166" s="174"/>
      <c r="DU166" s="174"/>
      <c r="DV166" s="174"/>
      <c r="DW166" s="174"/>
      <c r="DX166" s="174"/>
      <c r="DY166" s="174"/>
      <c r="DZ166" s="174"/>
      <c r="EA166" s="174"/>
      <c r="EB166" s="174"/>
      <c r="EC166" s="174"/>
      <c r="ED166" s="174"/>
      <c r="EE166" s="174"/>
      <c r="EF166" s="174"/>
      <c r="EG166" s="174"/>
      <c r="EH166" s="174"/>
      <c r="EI166" s="174"/>
      <c r="EJ166" s="174"/>
      <c r="EK166" s="174"/>
      <c r="EL166" s="174"/>
      <c r="EM166" s="174"/>
      <c r="EN166" s="174"/>
      <c r="EO166" s="174" t="s">
        <v>1860</v>
      </c>
      <c r="EP166" s="174" t="s">
        <v>1843</v>
      </c>
      <c r="EQ166" s="174" t="s">
        <v>1843</v>
      </c>
      <c r="ER166" s="174" t="s">
        <v>1812</v>
      </c>
      <c r="ES166" s="174" t="s">
        <v>1812</v>
      </c>
      <c r="ET166" s="174" t="s">
        <v>1812</v>
      </c>
      <c r="EU166" s="174" t="s">
        <v>1841</v>
      </c>
      <c r="EV166" s="174" t="s">
        <v>1844</v>
      </c>
      <c r="EW166" s="174" t="s">
        <v>1843</v>
      </c>
      <c r="EX166" s="174" t="s">
        <v>1835</v>
      </c>
      <c r="EY166" s="174" t="s">
        <v>1814</v>
      </c>
      <c r="EZ166" s="174" t="s">
        <v>1836</v>
      </c>
      <c r="FA166" s="174" t="s">
        <v>1812</v>
      </c>
      <c r="FB166" s="174" t="s">
        <v>1831</v>
      </c>
      <c r="FC166" s="174" t="s">
        <v>1812</v>
      </c>
      <c r="FD166" s="174" t="s">
        <v>1812</v>
      </c>
      <c r="FE166" s="174" t="s">
        <v>1812</v>
      </c>
      <c r="FF166" s="174" t="s">
        <v>1812</v>
      </c>
      <c r="FG166" s="174" t="s">
        <v>1846</v>
      </c>
      <c r="FH166" s="174" t="s">
        <v>1831</v>
      </c>
      <c r="FI166" s="174" t="s">
        <v>1844</v>
      </c>
      <c r="FJ166" s="174" t="s">
        <v>1844</v>
      </c>
      <c r="FK166" s="174" t="s">
        <v>1812</v>
      </c>
      <c r="FL166" s="174" t="s">
        <v>1812</v>
      </c>
      <c r="FM166" s="174" t="s">
        <v>1811</v>
      </c>
      <c r="FN166" s="174" t="s">
        <v>1850</v>
      </c>
      <c r="FO166" s="174" t="s">
        <v>1836</v>
      </c>
      <c r="FP166" s="174" t="s">
        <v>1882</v>
      </c>
      <c r="FQ166" s="174" t="s">
        <v>1844</v>
      </c>
      <c r="FR166" s="174" t="s">
        <v>1831</v>
      </c>
      <c r="FS166" s="174" t="s">
        <v>1844</v>
      </c>
      <c r="FT166" s="174" t="s">
        <v>1831</v>
      </c>
      <c r="FU166" s="174" t="s">
        <v>1836</v>
      </c>
      <c r="FV166" s="174" t="s">
        <v>1811</v>
      </c>
      <c r="FW166" s="174" t="s">
        <v>1830</v>
      </c>
      <c r="FX166" s="174" t="s">
        <v>1809</v>
      </c>
      <c r="FY166" s="174" t="s">
        <v>1828</v>
      </c>
      <c r="FZ166" s="174" t="s">
        <v>1836</v>
      </c>
      <c r="GA166" s="174"/>
      <c r="GB166" s="174"/>
      <c r="GC166" s="174"/>
      <c r="GD166" s="174"/>
      <c r="GE166" s="174"/>
      <c r="GF166" s="174"/>
      <c r="GG166" s="174"/>
      <c r="GH166" s="174"/>
      <c r="GI166" s="174"/>
      <c r="GJ166" s="174"/>
      <c r="GK166" s="174"/>
      <c r="GL166" s="174"/>
      <c r="GM166" s="174"/>
      <c r="GN166" s="174"/>
      <c r="GO166" s="174"/>
      <c r="GP166" s="174"/>
      <c r="GQ166" s="174"/>
      <c r="GR166" s="174"/>
      <c r="GS166" s="174"/>
      <c r="GT166" s="174"/>
      <c r="GU166" s="174"/>
      <c r="GV166" s="174"/>
      <c r="GW166" s="174"/>
      <c r="GX166" s="174"/>
      <c r="GY166" s="174"/>
      <c r="GZ166" s="174"/>
      <c r="HA166" s="174">
        <v>5</v>
      </c>
      <c r="HB166" s="197">
        <v>163</v>
      </c>
      <c r="HC166" s="194">
        <v>102</v>
      </c>
      <c r="HD166" s="238">
        <v>126.5</v>
      </c>
      <c r="HE166" s="236">
        <v>25</v>
      </c>
      <c r="HF166" s="183">
        <v>228</v>
      </c>
      <c r="HG166" s="193">
        <f t="shared" si="152"/>
        <v>223</v>
      </c>
      <c r="HH166" s="192" t="e">
        <f t="shared" si="182"/>
        <v>#REF!</v>
      </c>
      <c r="HI166" s="198">
        <v>25</v>
      </c>
      <c r="HJ166" s="185">
        <v>171.5</v>
      </c>
      <c r="HK166" s="174">
        <v>164</v>
      </c>
      <c r="HL166" s="174">
        <f t="shared" si="157"/>
        <v>726</v>
      </c>
      <c r="HM166" s="174">
        <f t="shared" si="158"/>
        <v>716</v>
      </c>
      <c r="HN166" s="174">
        <f t="shared" si="159"/>
        <v>562</v>
      </c>
      <c r="HO166" s="174">
        <f t="shared" si="160"/>
        <v>418</v>
      </c>
      <c r="HP166" s="174">
        <f t="shared" si="161"/>
        <v>284</v>
      </c>
      <c r="HQ166" s="174">
        <f t="shared" si="162"/>
        <v>274</v>
      </c>
      <c r="HR166" s="174">
        <f t="shared" si="163"/>
        <v>274</v>
      </c>
      <c r="HS166" s="174">
        <f t="shared" si="164"/>
        <v>264</v>
      </c>
      <c r="HT166" s="174">
        <f t="shared" si="165"/>
        <v>254</v>
      </c>
      <c r="HU166" s="174">
        <f t="shared" si="166"/>
        <v>552</v>
      </c>
      <c r="HV166" s="174">
        <f t="shared" si="167"/>
        <v>274</v>
      </c>
      <c r="HW166" s="174">
        <f t="shared" si="168"/>
        <v>264</v>
      </c>
      <c r="HX166" s="174">
        <f t="shared" si="169"/>
        <v>398</v>
      </c>
      <c r="HY166" s="174">
        <f t="shared" si="170"/>
        <v>254</v>
      </c>
      <c r="HZ166" s="174">
        <f t="shared" si="171"/>
        <v>244</v>
      </c>
      <c r="IA166" s="174">
        <f t="shared" si="172"/>
        <v>234</v>
      </c>
      <c r="IB166" s="174">
        <f t="shared" si="173"/>
        <v>388</v>
      </c>
      <c r="IC166" s="174">
        <f t="shared" si="174"/>
        <v>368</v>
      </c>
      <c r="ID166" s="174">
        <f t="shared" si="175"/>
        <v>224</v>
      </c>
      <c r="IE166" s="174">
        <f t="shared" si="176"/>
        <v>358</v>
      </c>
      <c r="IF166" s="174">
        <f t="shared" si="177"/>
        <v>224</v>
      </c>
      <c r="IG166" s="174">
        <f t="shared" si="178"/>
        <v>204</v>
      </c>
      <c r="IH166" s="174">
        <f t="shared" si="179"/>
        <v>194</v>
      </c>
      <c r="II166" s="174">
        <f t="shared" si="180"/>
        <v>174</v>
      </c>
      <c r="IJ166" s="174">
        <v>166</v>
      </c>
      <c r="IK166" s="174"/>
      <c r="IL166" s="174"/>
      <c r="IM166" s="174"/>
      <c r="IN166" s="174"/>
      <c r="IO166" s="174"/>
      <c r="IP166" s="174"/>
      <c r="IQ166" s="174"/>
      <c r="IR166" s="174"/>
      <c r="IS166" s="174"/>
      <c r="IT166" s="174"/>
      <c r="IU166" s="174"/>
      <c r="IV166" s="174"/>
      <c r="IW166" s="174"/>
      <c r="IX166" s="174"/>
      <c r="IY166" s="174"/>
      <c r="IZ166" s="174"/>
      <c r="JA166" s="174"/>
    </row>
    <row r="167" spans="1:261" s="218" customFormat="1" ht="13.35" customHeight="1" x14ac:dyDescent="0.2">
      <c r="A167" s="174">
        <v>21</v>
      </c>
      <c r="B167" s="174">
        <f>A167+44</f>
        <v>65</v>
      </c>
      <c r="C167" s="174"/>
      <c r="D167" s="174"/>
      <c r="E167" s="207"/>
      <c r="DF167" s="174"/>
      <c r="DG167" s="174"/>
      <c r="DH167" s="174"/>
      <c r="DI167" s="174"/>
      <c r="DJ167" s="174"/>
      <c r="DK167" s="174"/>
      <c r="DL167" s="174"/>
      <c r="DM167" s="174"/>
      <c r="DN167" s="174"/>
      <c r="DO167" s="174"/>
      <c r="DP167" s="174"/>
      <c r="DQ167" s="174"/>
      <c r="DR167" s="174"/>
      <c r="DS167" s="174"/>
      <c r="DT167" s="174"/>
      <c r="DU167" s="174"/>
      <c r="DV167" s="174"/>
      <c r="DW167" s="174"/>
      <c r="DX167" s="174"/>
      <c r="DY167" s="174"/>
      <c r="DZ167" s="174"/>
      <c r="EA167" s="174"/>
      <c r="EB167" s="174"/>
      <c r="EC167" s="174"/>
      <c r="ED167" s="174"/>
      <c r="EE167" s="174"/>
      <c r="EF167" s="174"/>
      <c r="EG167" s="174"/>
      <c r="EH167" s="174"/>
      <c r="EI167" s="174"/>
      <c r="EJ167" s="174"/>
      <c r="EK167" s="174"/>
      <c r="EL167" s="174"/>
      <c r="EM167" s="174"/>
      <c r="EN167" s="174"/>
      <c r="EO167" s="174" t="s">
        <v>1830</v>
      </c>
      <c r="EP167" s="174" t="s">
        <v>1848</v>
      </c>
      <c r="EQ167" s="174" t="s">
        <v>1848</v>
      </c>
      <c r="ER167" s="174" t="s">
        <v>1844</v>
      </c>
      <c r="ES167" s="174" t="s">
        <v>1844</v>
      </c>
      <c r="ET167" s="174" t="s">
        <v>1844</v>
      </c>
      <c r="EU167" s="174"/>
      <c r="EV167" s="174" t="s">
        <v>1837</v>
      </c>
      <c r="EW167" s="174" t="s">
        <v>1848</v>
      </c>
      <c r="EX167" s="174" t="s">
        <v>1843</v>
      </c>
      <c r="EY167" s="174" t="s">
        <v>1843</v>
      </c>
      <c r="EZ167" s="174" t="s">
        <v>1853</v>
      </c>
      <c r="FA167" s="174" t="s">
        <v>1831</v>
      </c>
      <c r="FB167" s="174" t="s">
        <v>1846</v>
      </c>
      <c r="FC167" s="174" t="s">
        <v>1831</v>
      </c>
      <c r="FD167" s="174" t="s">
        <v>1831</v>
      </c>
      <c r="FE167" s="174" t="s">
        <v>1831</v>
      </c>
      <c r="FF167" s="174" t="s">
        <v>1831</v>
      </c>
      <c r="FG167" s="174" t="s">
        <v>1809</v>
      </c>
      <c r="FH167" s="174" t="s">
        <v>1835</v>
      </c>
      <c r="FI167" s="174" t="s">
        <v>1837</v>
      </c>
      <c r="FJ167" s="174" t="s">
        <v>1837</v>
      </c>
      <c r="FK167" s="174" t="s">
        <v>1849</v>
      </c>
      <c r="FL167" s="174" t="s">
        <v>1849</v>
      </c>
      <c r="FM167" s="174" t="s">
        <v>1830</v>
      </c>
      <c r="FN167" s="174" t="s">
        <v>1879</v>
      </c>
      <c r="FO167" s="174" t="s">
        <v>1837</v>
      </c>
      <c r="FP167" s="174"/>
      <c r="FQ167" s="174" t="s">
        <v>1837</v>
      </c>
      <c r="FR167" s="174" t="s">
        <v>1835</v>
      </c>
      <c r="FS167" s="174" t="s">
        <v>1837</v>
      </c>
      <c r="FT167" s="174" t="s">
        <v>1846</v>
      </c>
      <c r="FU167" s="174" t="s">
        <v>1837</v>
      </c>
      <c r="FV167" s="174" t="s">
        <v>1830</v>
      </c>
      <c r="FW167" s="174" t="s">
        <v>1846</v>
      </c>
      <c r="FX167" s="174" t="s">
        <v>1847</v>
      </c>
      <c r="FY167" s="174" t="s">
        <v>1831</v>
      </c>
      <c r="FZ167" s="174" t="s">
        <v>1837</v>
      </c>
      <c r="GA167" s="174"/>
      <c r="GB167" s="174"/>
      <c r="GC167" s="174"/>
      <c r="GD167" s="174"/>
      <c r="GE167" s="174"/>
      <c r="GF167" s="174"/>
      <c r="GG167" s="174"/>
      <c r="GH167" s="174"/>
      <c r="GI167" s="174"/>
      <c r="GJ167" s="174"/>
      <c r="GK167" s="174"/>
      <c r="GL167" s="174"/>
      <c r="GM167" s="174"/>
      <c r="GN167" s="174"/>
      <c r="GO167" s="174"/>
      <c r="GP167" s="174"/>
      <c r="GQ167" s="174"/>
      <c r="GR167" s="174"/>
      <c r="GS167" s="174"/>
      <c r="GT167" s="174"/>
      <c r="GU167" s="174"/>
      <c r="GV167" s="174"/>
      <c r="GW167" s="174"/>
      <c r="GX167" s="174"/>
      <c r="GY167" s="174"/>
      <c r="GZ167" s="174"/>
      <c r="HA167" s="174">
        <v>6</v>
      </c>
      <c r="HB167" s="197">
        <v>164</v>
      </c>
      <c r="HC167" s="194">
        <v>102</v>
      </c>
      <c r="HD167" s="238">
        <v>127</v>
      </c>
      <c r="HE167" s="236">
        <v>25</v>
      </c>
      <c r="HF167" s="183">
        <v>229</v>
      </c>
      <c r="HG167" s="193">
        <f t="shared" si="152"/>
        <v>224</v>
      </c>
      <c r="HH167" s="192" t="e">
        <f t="shared" si="182"/>
        <v>#REF!</v>
      </c>
      <c r="HI167" s="198">
        <v>25</v>
      </c>
      <c r="HJ167" s="185">
        <v>172</v>
      </c>
      <c r="HK167" s="174">
        <v>165</v>
      </c>
      <c r="HL167" s="174">
        <f t="shared" si="157"/>
        <v>730</v>
      </c>
      <c r="HM167" s="174">
        <f t="shared" si="158"/>
        <v>720</v>
      </c>
      <c r="HN167" s="174">
        <f t="shared" si="159"/>
        <v>565</v>
      </c>
      <c r="HO167" s="174">
        <f t="shared" si="160"/>
        <v>420</v>
      </c>
      <c r="HP167" s="174">
        <f t="shared" si="161"/>
        <v>285</v>
      </c>
      <c r="HQ167" s="174">
        <f t="shared" si="162"/>
        <v>275</v>
      </c>
      <c r="HR167" s="174">
        <f t="shared" si="163"/>
        <v>275</v>
      </c>
      <c r="HS167" s="174">
        <f t="shared" si="164"/>
        <v>265</v>
      </c>
      <c r="HT167" s="174">
        <f t="shared" si="165"/>
        <v>255</v>
      </c>
      <c r="HU167" s="174">
        <f t="shared" si="166"/>
        <v>555</v>
      </c>
      <c r="HV167" s="174">
        <f t="shared" si="167"/>
        <v>275</v>
      </c>
      <c r="HW167" s="174">
        <f t="shared" si="168"/>
        <v>265</v>
      </c>
      <c r="HX167" s="174">
        <f t="shared" si="169"/>
        <v>400</v>
      </c>
      <c r="HY167" s="174">
        <f t="shared" si="170"/>
        <v>255</v>
      </c>
      <c r="HZ167" s="174">
        <f t="shared" si="171"/>
        <v>245</v>
      </c>
      <c r="IA167" s="174">
        <f t="shared" si="172"/>
        <v>235</v>
      </c>
      <c r="IB167" s="174">
        <f t="shared" si="173"/>
        <v>390</v>
      </c>
      <c r="IC167" s="174">
        <f t="shared" si="174"/>
        <v>370</v>
      </c>
      <c r="ID167" s="174">
        <f t="shared" si="175"/>
        <v>225</v>
      </c>
      <c r="IE167" s="174">
        <f t="shared" si="176"/>
        <v>360</v>
      </c>
      <c r="IF167" s="174">
        <f t="shared" si="177"/>
        <v>225</v>
      </c>
      <c r="IG167" s="174">
        <f t="shared" si="178"/>
        <v>205</v>
      </c>
      <c r="IH167" s="174">
        <f t="shared" si="179"/>
        <v>195</v>
      </c>
      <c r="II167" s="174">
        <f t="shared" si="180"/>
        <v>175</v>
      </c>
      <c r="IJ167" s="174">
        <v>167</v>
      </c>
      <c r="IK167" s="174"/>
      <c r="IL167" s="174"/>
      <c r="IM167" s="174"/>
      <c r="IN167" s="174"/>
      <c r="IO167" s="174"/>
      <c r="IP167" s="174"/>
      <c r="IQ167" s="174"/>
      <c r="IR167" s="174"/>
      <c r="IS167" s="174"/>
      <c r="IT167" s="174"/>
      <c r="IU167" s="174"/>
      <c r="IV167" s="174"/>
      <c r="IW167" s="174"/>
      <c r="IX167" s="174"/>
      <c r="IY167" s="174"/>
      <c r="IZ167" s="174"/>
      <c r="JA167" s="174"/>
    </row>
    <row r="168" spans="1:261" s="218" customFormat="1" ht="13.35" customHeight="1" x14ac:dyDescent="0.2">
      <c r="A168" s="174">
        <v>22</v>
      </c>
      <c r="B168" s="174">
        <f>A168+44</f>
        <v>66</v>
      </c>
      <c r="C168" s="174"/>
      <c r="D168" s="174"/>
      <c r="E168" s="207"/>
      <c r="DF168" s="174"/>
      <c r="DG168" s="174"/>
      <c r="DH168" s="174"/>
      <c r="DI168" s="174"/>
      <c r="DJ168" s="174"/>
      <c r="DK168" s="174"/>
      <c r="DL168" s="174"/>
      <c r="DM168" s="174"/>
      <c r="DN168" s="174"/>
      <c r="DO168" s="174"/>
      <c r="DP168" s="174"/>
      <c r="DQ168" s="174"/>
      <c r="DR168" s="174"/>
      <c r="DS168" s="174"/>
      <c r="DT168" s="174"/>
      <c r="DU168" s="174"/>
      <c r="DV168" s="174"/>
      <c r="DW168" s="174"/>
      <c r="DX168" s="174"/>
      <c r="DY168" s="174"/>
      <c r="DZ168" s="174"/>
      <c r="EA168" s="174"/>
      <c r="EB168" s="174"/>
      <c r="EC168" s="174"/>
      <c r="ED168" s="174"/>
      <c r="EE168" s="174"/>
      <c r="EF168" s="174"/>
      <c r="EG168" s="174"/>
      <c r="EH168" s="174"/>
      <c r="EI168" s="174"/>
      <c r="EJ168" s="174"/>
      <c r="EK168" s="174"/>
      <c r="EL168" s="174"/>
      <c r="EM168" s="174"/>
      <c r="EN168" s="174"/>
      <c r="EO168" s="174" t="s">
        <v>1841</v>
      </c>
      <c r="EP168" s="174" t="s">
        <v>1850</v>
      </c>
      <c r="EQ168" s="174" t="s">
        <v>1850</v>
      </c>
      <c r="ER168" s="174" t="s">
        <v>1837</v>
      </c>
      <c r="ES168" s="174" t="s">
        <v>1837</v>
      </c>
      <c r="ET168" s="174" t="s">
        <v>1837</v>
      </c>
      <c r="EU168" s="174"/>
      <c r="EV168" s="174" t="s">
        <v>1852</v>
      </c>
      <c r="EW168" s="174" t="s">
        <v>1850</v>
      </c>
      <c r="EX168" s="174" t="s">
        <v>1848</v>
      </c>
      <c r="EY168" s="174" t="s">
        <v>1831</v>
      </c>
      <c r="EZ168" s="174" t="s">
        <v>1814</v>
      </c>
      <c r="FA168" s="174" t="s">
        <v>1846</v>
      </c>
      <c r="FB168" s="174"/>
      <c r="FC168" s="174" t="s">
        <v>1846</v>
      </c>
      <c r="FD168" s="174" t="s">
        <v>1846</v>
      </c>
      <c r="FE168" s="174" t="s">
        <v>1846</v>
      </c>
      <c r="FF168" s="174" t="s">
        <v>1846</v>
      </c>
      <c r="FG168" s="174" t="s">
        <v>1836</v>
      </c>
      <c r="FH168" s="174" t="s">
        <v>1875</v>
      </c>
      <c r="FI168" s="174" t="s">
        <v>1831</v>
      </c>
      <c r="FJ168" s="174" t="s">
        <v>1852</v>
      </c>
      <c r="FK168" s="174" t="s">
        <v>1846</v>
      </c>
      <c r="FL168" s="174" t="s">
        <v>1846</v>
      </c>
      <c r="FM168" s="174" t="s">
        <v>1841</v>
      </c>
      <c r="FN168" s="174" t="s">
        <v>1882</v>
      </c>
      <c r="FO168" s="174" t="s">
        <v>1852</v>
      </c>
      <c r="FP168" s="174"/>
      <c r="FQ168" s="174" t="s">
        <v>1831</v>
      </c>
      <c r="FR168" s="174" t="s">
        <v>1875</v>
      </c>
      <c r="FS168" s="174" t="s">
        <v>1852</v>
      </c>
      <c r="FT168" s="174" t="s">
        <v>1808</v>
      </c>
      <c r="FU168" s="174" t="s">
        <v>1852</v>
      </c>
      <c r="FV168" s="174" t="s">
        <v>1841</v>
      </c>
      <c r="FW168" s="174" t="s">
        <v>1809</v>
      </c>
      <c r="FX168" s="174" t="s">
        <v>1830</v>
      </c>
      <c r="FY168" s="174" t="s">
        <v>1841</v>
      </c>
      <c r="FZ168" s="174" t="s">
        <v>1852</v>
      </c>
      <c r="GA168" s="174"/>
      <c r="GB168" s="174"/>
      <c r="GC168" s="174"/>
      <c r="GD168" s="174"/>
      <c r="GE168" s="174"/>
      <c r="GF168" s="174"/>
      <c r="GG168" s="174"/>
      <c r="GH168" s="174"/>
      <c r="GI168" s="174"/>
      <c r="GJ168" s="174"/>
      <c r="GK168" s="174"/>
      <c r="GL168" s="174"/>
      <c r="GM168" s="174"/>
      <c r="GN168" s="174"/>
      <c r="GO168" s="174"/>
      <c r="GP168" s="174"/>
      <c r="GQ168" s="174"/>
      <c r="GR168" s="174"/>
      <c r="GS168" s="174"/>
      <c r="GT168" s="174"/>
      <c r="GU168" s="174"/>
      <c r="GV168" s="174"/>
      <c r="GW168" s="174"/>
      <c r="GX168" s="174"/>
      <c r="GY168" s="174"/>
      <c r="GZ168" s="174"/>
      <c r="HA168" s="174">
        <v>7</v>
      </c>
      <c r="HB168" s="197">
        <v>165</v>
      </c>
      <c r="HC168" s="194">
        <v>103</v>
      </c>
      <c r="HD168" s="238">
        <v>127.5</v>
      </c>
      <c r="HE168" s="236">
        <v>25</v>
      </c>
      <c r="HF168" s="183">
        <v>230</v>
      </c>
      <c r="HG168" s="193">
        <f t="shared" si="152"/>
        <v>225</v>
      </c>
      <c r="HH168" s="192" t="e">
        <f t="shared" si="182"/>
        <v>#REF!</v>
      </c>
      <c r="HI168" s="198">
        <v>25</v>
      </c>
      <c r="HJ168" s="185">
        <v>172.5</v>
      </c>
      <c r="HK168" s="174">
        <v>166</v>
      </c>
      <c r="HL168" s="174">
        <f t="shared" si="157"/>
        <v>734</v>
      </c>
      <c r="HM168" s="174">
        <f t="shared" si="158"/>
        <v>724</v>
      </c>
      <c r="HN168" s="174">
        <f t="shared" si="159"/>
        <v>568</v>
      </c>
      <c r="HO168" s="174">
        <f t="shared" si="160"/>
        <v>422</v>
      </c>
      <c r="HP168" s="174">
        <f t="shared" si="161"/>
        <v>286</v>
      </c>
      <c r="HQ168" s="174">
        <f t="shared" si="162"/>
        <v>276</v>
      </c>
      <c r="HR168" s="174">
        <f t="shared" si="163"/>
        <v>276</v>
      </c>
      <c r="HS168" s="174">
        <f t="shared" si="164"/>
        <v>266</v>
      </c>
      <c r="HT168" s="174">
        <f t="shared" si="165"/>
        <v>256</v>
      </c>
      <c r="HU168" s="174">
        <f t="shared" si="166"/>
        <v>558</v>
      </c>
      <c r="HV168" s="174">
        <f t="shared" si="167"/>
        <v>276</v>
      </c>
      <c r="HW168" s="174">
        <f t="shared" si="168"/>
        <v>266</v>
      </c>
      <c r="HX168" s="174">
        <f t="shared" si="169"/>
        <v>402</v>
      </c>
      <c r="HY168" s="174">
        <f t="shared" si="170"/>
        <v>256</v>
      </c>
      <c r="HZ168" s="174">
        <f t="shared" si="171"/>
        <v>246</v>
      </c>
      <c r="IA168" s="174">
        <f t="shared" si="172"/>
        <v>236</v>
      </c>
      <c r="IB168" s="174">
        <f t="shared" si="173"/>
        <v>392</v>
      </c>
      <c r="IC168" s="174">
        <f t="shared" si="174"/>
        <v>372</v>
      </c>
      <c r="ID168" s="174">
        <f t="shared" si="175"/>
        <v>226</v>
      </c>
      <c r="IE168" s="174">
        <f t="shared" si="176"/>
        <v>362</v>
      </c>
      <c r="IF168" s="174">
        <f t="shared" si="177"/>
        <v>226</v>
      </c>
      <c r="IG168" s="174">
        <f t="shared" si="178"/>
        <v>206</v>
      </c>
      <c r="IH168" s="174">
        <f t="shared" si="179"/>
        <v>196</v>
      </c>
      <c r="II168" s="174">
        <f t="shared" si="180"/>
        <v>176</v>
      </c>
      <c r="IJ168" s="174">
        <v>168</v>
      </c>
      <c r="IK168" s="174"/>
      <c r="IL168" s="174"/>
      <c r="IM168" s="174"/>
      <c r="IN168" s="174"/>
      <c r="IO168" s="174"/>
      <c r="IP168" s="174"/>
      <c r="IQ168" s="174"/>
      <c r="IR168" s="174"/>
      <c r="IS168" s="174"/>
      <c r="IT168" s="174"/>
      <c r="IU168" s="174"/>
      <c r="IV168" s="174"/>
      <c r="IW168" s="174"/>
      <c r="IX168" s="174"/>
      <c r="IY168" s="174"/>
      <c r="IZ168" s="174"/>
      <c r="JA168" s="174"/>
    </row>
    <row r="169" spans="1:261" ht="13.35" customHeight="1" x14ac:dyDescent="0.2">
      <c r="A169" s="174">
        <v>23</v>
      </c>
      <c r="B169" s="174">
        <f>A169+44</f>
        <v>67</v>
      </c>
      <c r="E169" s="207"/>
      <c r="EO169" s="174" t="s">
        <v>1875</v>
      </c>
      <c r="EP169" s="174" t="s">
        <v>1860</v>
      </c>
      <c r="EQ169" s="174" t="s">
        <v>1860</v>
      </c>
      <c r="ER169" s="174" t="s">
        <v>1859</v>
      </c>
      <c r="ES169" s="174" t="s">
        <v>1859</v>
      </c>
      <c r="ET169" s="174" t="s">
        <v>1859</v>
      </c>
      <c r="EV169" s="174" t="s">
        <v>1835</v>
      </c>
      <c r="EW169" s="174" t="s">
        <v>1860</v>
      </c>
      <c r="EX169" s="174" t="s">
        <v>1860</v>
      </c>
      <c r="EY169" s="174" t="s">
        <v>1850</v>
      </c>
      <c r="EZ169" s="174" t="s">
        <v>1843</v>
      </c>
      <c r="FA169" s="174" t="s">
        <v>1862</v>
      </c>
      <c r="FC169" s="174" t="s">
        <v>1862</v>
      </c>
      <c r="FD169" s="174" t="s">
        <v>1862</v>
      </c>
      <c r="FE169" s="174" t="s">
        <v>1879</v>
      </c>
      <c r="FF169" s="174" t="s">
        <v>1879</v>
      </c>
      <c r="FG169" s="174" t="s">
        <v>1882</v>
      </c>
      <c r="FI169" s="174" t="s">
        <v>1835</v>
      </c>
      <c r="FJ169" s="174" t="s">
        <v>1835</v>
      </c>
      <c r="FK169" s="174" t="s">
        <v>1850</v>
      </c>
      <c r="FL169" s="174" t="s">
        <v>1850</v>
      </c>
      <c r="FM169" s="174" t="s">
        <v>1857</v>
      </c>
      <c r="FN169" s="174" t="s">
        <v>1846</v>
      </c>
      <c r="FO169" s="174" t="s">
        <v>1853</v>
      </c>
      <c r="FQ169" s="174" t="s">
        <v>1835</v>
      </c>
      <c r="FR169" s="174" t="s">
        <v>1811</v>
      </c>
      <c r="FS169" s="174" t="s">
        <v>1835</v>
      </c>
      <c r="FT169" s="174" t="s">
        <v>1812</v>
      </c>
      <c r="FU169" s="174" t="s">
        <v>1853</v>
      </c>
      <c r="FV169" s="174" t="s">
        <v>1857</v>
      </c>
      <c r="FW169" s="174" t="s">
        <v>1850</v>
      </c>
      <c r="FX169" s="174" t="s">
        <v>1843</v>
      </c>
      <c r="FY169" s="174" t="s">
        <v>1853</v>
      </c>
      <c r="FZ169" s="174" t="s">
        <v>1853</v>
      </c>
      <c r="HA169" s="174">
        <v>8</v>
      </c>
      <c r="HB169" s="197">
        <v>166</v>
      </c>
      <c r="HC169" s="194">
        <v>103</v>
      </c>
      <c r="HD169" s="238">
        <v>128</v>
      </c>
      <c r="HE169" s="236">
        <v>25</v>
      </c>
      <c r="HF169" s="183">
        <v>231</v>
      </c>
      <c r="HG169" s="193">
        <f t="shared" si="152"/>
        <v>226</v>
      </c>
      <c r="HH169" s="192" t="e">
        <f t="shared" si="182"/>
        <v>#REF!</v>
      </c>
      <c r="HI169" s="198">
        <v>25</v>
      </c>
      <c r="HJ169" s="185">
        <v>173</v>
      </c>
      <c r="HK169" s="174">
        <v>167</v>
      </c>
      <c r="HL169" s="174">
        <f t="shared" si="157"/>
        <v>738</v>
      </c>
      <c r="HM169" s="174">
        <f t="shared" si="158"/>
        <v>728</v>
      </c>
      <c r="HN169" s="174">
        <f t="shared" si="159"/>
        <v>571</v>
      </c>
      <c r="HO169" s="174">
        <f t="shared" si="160"/>
        <v>424</v>
      </c>
      <c r="HP169" s="174">
        <f t="shared" si="161"/>
        <v>287</v>
      </c>
      <c r="HQ169" s="174">
        <f t="shared" si="162"/>
        <v>277</v>
      </c>
      <c r="HR169" s="174">
        <f t="shared" si="163"/>
        <v>277</v>
      </c>
      <c r="HS169" s="174">
        <f t="shared" si="164"/>
        <v>267</v>
      </c>
      <c r="HT169" s="174">
        <f t="shared" si="165"/>
        <v>257</v>
      </c>
      <c r="HU169" s="174">
        <f t="shared" si="166"/>
        <v>561</v>
      </c>
      <c r="HV169" s="174">
        <f t="shared" si="167"/>
        <v>277</v>
      </c>
      <c r="HW169" s="174">
        <f t="shared" si="168"/>
        <v>267</v>
      </c>
      <c r="HX169" s="174">
        <f t="shared" si="169"/>
        <v>404</v>
      </c>
      <c r="HY169" s="174">
        <f t="shared" si="170"/>
        <v>257</v>
      </c>
      <c r="HZ169" s="174">
        <f t="shared" si="171"/>
        <v>247</v>
      </c>
      <c r="IA169" s="174">
        <f t="shared" si="172"/>
        <v>237</v>
      </c>
      <c r="IB169" s="174">
        <f t="shared" si="173"/>
        <v>394</v>
      </c>
      <c r="IC169" s="174">
        <f t="shared" si="174"/>
        <v>374</v>
      </c>
      <c r="ID169" s="174">
        <f t="shared" si="175"/>
        <v>227</v>
      </c>
      <c r="IE169" s="174">
        <f t="shared" si="176"/>
        <v>364</v>
      </c>
      <c r="IF169" s="174">
        <f t="shared" si="177"/>
        <v>227</v>
      </c>
      <c r="IG169" s="174">
        <f t="shared" si="178"/>
        <v>207</v>
      </c>
      <c r="IH169" s="174">
        <f t="shared" si="179"/>
        <v>197</v>
      </c>
      <c r="II169" s="174">
        <f t="shared" si="180"/>
        <v>177</v>
      </c>
      <c r="IJ169" s="174">
        <v>169</v>
      </c>
    </row>
    <row r="170" spans="1:261" ht="13.35" customHeight="1" x14ac:dyDescent="0.2">
      <c r="A170" s="174">
        <v>24</v>
      </c>
      <c r="B170" s="174">
        <f>A170+44</f>
        <v>68</v>
      </c>
      <c r="E170" s="207"/>
      <c r="EO170" s="174" t="s">
        <v>1884</v>
      </c>
      <c r="EP170" s="174" t="s">
        <v>1830</v>
      </c>
      <c r="EQ170" s="174" t="s">
        <v>1830</v>
      </c>
      <c r="ER170" s="174" t="s">
        <v>1810</v>
      </c>
      <c r="ES170" s="174" t="s">
        <v>1810</v>
      </c>
      <c r="ET170" s="174" t="s">
        <v>1810</v>
      </c>
      <c r="EV170" s="174" t="s">
        <v>1866</v>
      </c>
      <c r="EW170" s="174" t="s">
        <v>1830</v>
      </c>
      <c r="EX170" s="174" t="s">
        <v>1850</v>
      </c>
      <c r="EY170" s="174" t="s">
        <v>1830</v>
      </c>
      <c r="EZ170" s="174" t="s">
        <v>1831</v>
      </c>
      <c r="FA170" s="174" t="s">
        <v>1844</v>
      </c>
      <c r="FC170" s="174" t="s">
        <v>1844</v>
      </c>
      <c r="FD170" s="174" t="s">
        <v>1870</v>
      </c>
      <c r="FE170" s="174" t="s">
        <v>1882</v>
      </c>
      <c r="FF170" s="174" t="s">
        <v>1882</v>
      </c>
      <c r="FI170" s="174" t="s">
        <v>1866</v>
      </c>
      <c r="FJ170" s="174" t="s">
        <v>1866</v>
      </c>
      <c r="FK170" s="174" t="s">
        <v>1836</v>
      </c>
      <c r="FL170" s="174" t="s">
        <v>1836</v>
      </c>
      <c r="FM170" s="174" t="s">
        <v>1831</v>
      </c>
      <c r="FO170" s="174" t="s">
        <v>1835</v>
      </c>
      <c r="FQ170" s="174" t="s">
        <v>1866</v>
      </c>
      <c r="FR170" s="174" t="s">
        <v>4293</v>
      </c>
      <c r="FS170" s="174" t="s">
        <v>1866</v>
      </c>
      <c r="FU170" s="174" t="s">
        <v>1835</v>
      </c>
      <c r="FV170" s="174" t="s">
        <v>1831</v>
      </c>
      <c r="FX170" s="174" t="s">
        <v>1837</v>
      </c>
      <c r="FY170" s="174" t="s">
        <v>1832</v>
      </c>
      <c r="FZ170" s="174" t="s">
        <v>1835</v>
      </c>
      <c r="HA170" s="174">
        <v>9</v>
      </c>
      <c r="HB170" s="197">
        <v>167</v>
      </c>
      <c r="HC170" s="194">
        <v>104</v>
      </c>
      <c r="HD170" s="238">
        <v>128.5</v>
      </c>
      <c r="HE170" s="236">
        <v>25</v>
      </c>
      <c r="HF170" s="183">
        <v>232</v>
      </c>
      <c r="HG170" s="193">
        <f t="shared" si="152"/>
        <v>227</v>
      </c>
      <c r="HH170" s="192" t="e">
        <f t="shared" si="182"/>
        <v>#REF!</v>
      </c>
      <c r="HI170" s="198">
        <v>25</v>
      </c>
      <c r="HJ170" s="185">
        <v>173.5</v>
      </c>
      <c r="HK170" s="174">
        <v>168</v>
      </c>
      <c r="HL170" s="174">
        <f t="shared" si="157"/>
        <v>742</v>
      </c>
      <c r="HM170" s="174">
        <f t="shared" si="158"/>
        <v>732</v>
      </c>
      <c r="HN170" s="174">
        <f t="shared" si="159"/>
        <v>574</v>
      </c>
      <c r="HO170" s="174">
        <f t="shared" si="160"/>
        <v>426</v>
      </c>
      <c r="HP170" s="174">
        <f t="shared" si="161"/>
        <v>288</v>
      </c>
      <c r="HQ170" s="174">
        <f t="shared" si="162"/>
        <v>278</v>
      </c>
      <c r="HR170" s="174">
        <f t="shared" si="163"/>
        <v>278</v>
      </c>
      <c r="HS170" s="174">
        <f t="shared" si="164"/>
        <v>268</v>
      </c>
      <c r="HT170" s="174">
        <f t="shared" si="165"/>
        <v>258</v>
      </c>
      <c r="HU170" s="174">
        <f t="shared" si="166"/>
        <v>564</v>
      </c>
      <c r="HV170" s="174">
        <f t="shared" si="167"/>
        <v>278</v>
      </c>
      <c r="HW170" s="174">
        <f t="shared" si="168"/>
        <v>268</v>
      </c>
      <c r="HX170" s="174">
        <f t="shared" si="169"/>
        <v>406</v>
      </c>
      <c r="HY170" s="174">
        <f t="shared" si="170"/>
        <v>258</v>
      </c>
      <c r="HZ170" s="174">
        <f t="shared" si="171"/>
        <v>248</v>
      </c>
      <c r="IA170" s="174">
        <f t="shared" si="172"/>
        <v>238</v>
      </c>
      <c r="IB170" s="174">
        <f t="shared" si="173"/>
        <v>396</v>
      </c>
      <c r="IC170" s="174">
        <f t="shared" si="174"/>
        <v>376</v>
      </c>
      <c r="ID170" s="174">
        <f t="shared" si="175"/>
        <v>228</v>
      </c>
      <c r="IE170" s="174">
        <f t="shared" si="176"/>
        <v>366</v>
      </c>
      <c r="IF170" s="174">
        <f t="shared" si="177"/>
        <v>228</v>
      </c>
      <c r="IG170" s="174">
        <f t="shared" si="178"/>
        <v>208</v>
      </c>
      <c r="IH170" s="174">
        <f t="shared" si="179"/>
        <v>198</v>
      </c>
      <c r="II170" s="174">
        <f t="shared" si="180"/>
        <v>178</v>
      </c>
      <c r="IJ170" s="174">
        <v>170</v>
      </c>
    </row>
    <row r="171" spans="1:261" ht="13.35" customHeight="1" x14ac:dyDescent="0.2">
      <c r="A171" s="174">
        <v>25</v>
      </c>
      <c r="B171" s="174">
        <f t="shared" ref="B171:B180" si="183">A171+39</f>
        <v>64</v>
      </c>
      <c r="E171" s="207"/>
      <c r="EO171" s="174" t="s">
        <v>1844</v>
      </c>
      <c r="EP171" s="174" t="s">
        <v>1841</v>
      </c>
      <c r="EQ171" s="174" t="s">
        <v>1841</v>
      </c>
      <c r="ER171" s="174" t="s">
        <v>1841</v>
      </c>
      <c r="ES171" s="174" t="s">
        <v>1841</v>
      </c>
      <c r="ET171" s="174" t="s">
        <v>1841</v>
      </c>
      <c r="EV171" s="174" t="s">
        <v>1810</v>
      </c>
      <c r="EW171" s="174" t="s">
        <v>1841</v>
      </c>
      <c r="EX171" s="174" t="s">
        <v>1830</v>
      </c>
      <c r="EY171" s="174" t="s">
        <v>1841</v>
      </c>
      <c r="EZ171" s="174" t="s">
        <v>1850</v>
      </c>
      <c r="FF171" s="174" t="s">
        <v>1837</v>
      </c>
      <c r="FI171" s="174" t="s">
        <v>1884</v>
      </c>
      <c r="FJ171" s="174" t="s">
        <v>1810</v>
      </c>
      <c r="FK171" s="174" t="s">
        <v>1835</v>
      </c>
      <c r="FL171" s="174" t="s">
        <v>1840</v>
      </c>
      <c r="FO171" s="174" t="s">
        <v>1843</v>
      </c>
      <c r="FQ171" s="174" t="s">
        <v>1884</v>
      </c>
      <c r="FR171" s="174" t="s">
        <v>1808</v>
      </c>
      <c r="FS171" s="174" t="s">
        <v>1810</v>
      </c>
      <c r="FU171" s="174" t="s">
        <v>1843</v>
      </c>
      <c r="FX171" s="174" t="s">
        <v>1852</v>
      </c>
      <c r="FZ171" s="174" t="s">
        <v>1843</v>
      </c>
      <c r="HA171" s="174">
        <v>10</v>
      </c>
      <c r="HB171" s="197">
        <v>168</v>
      </c>
      <c r="HC171" s="194">
        <v>104</v>
      </c>
      <c r="HD171" s="238">
        <v>129</v>
      </c>
      <c r="HE171" s="236">
        <v>25</v>
      </c>
      <c r="HF171" s="183">
        <v>233</v>
      </c>
      <c r="HG171" s="193">
        <f t="shared" si="152"/>
        <v>228</v>
      </c>
      <c r="HH171" s="192" t="e">
        <f t="shared" si="182"/>
        <v>#REF!</v>
      </c>
      <c r="HI171" s="198">
        <v>25</v>
      </c>
      <c r="HJ171" s="185">
        <v>174</v>
      </c>
      <c r="HK171" s="174">
        <v>169</v>
      </c>
      <c r="HL171" s="174">
        <f t="shared" si="157"/>
        <v>746</v>
      </c>
      <c r="HM171" s="174">
        <f t="shared" si="158"/>
        <v>736</v>
      </c>
      <c r="HN171" s="174">
        <f t="shared" si="159"/>
        <v>577</v>
      </c>
      <c r="HO171" s="174">
        <f t="shared" si="160"/>
        <v>428</v>
      </c>
      <c r="HP171" s="174">
        <f t="shared" si="161"/>
        <v>289</v>
      </c>
      <c r="HQ171" s="174">
        <f t="shared" si="162"/>
        <v>279</v>
      </c>
      <c r="HR171" s="174">
        <f t="shared" si="163"/>
        <v>279</v>
      </c>
      <c r="HS171" s="174">
        <f t="shared" si="164"/>
        <v>269</v>
      </c>
      <c r="HT171" s="174">
        <f t="shared" si="165"/>
        <v>259</v>
      </c>
      <c r="HU171" s="174">
        <f t="shared" si="166"/>
        <v>567</v>
      </c>
      <c r="HV171" s="174">
        <f t="shared" si="167"/>
        <v>279</v>
      </c>
      <c r="HW171" s="174">
        <f t="shared" si="168"/>
        <v>269</v>
      </c>
      <c r="HX171" s="174">
        <f t="shared" si="169"/>
        <v>408</v>
      </c>
      <c r="HY171" s="174">
        <f t="shared" si="170"/>
        <v>259</v>
      </c>
      <c r="HZ171" s="174">
        <f t="shared" si="171"/>
        <v>249</v>
      </c>
      <c r="IA171" s="174">
        <f t="shared" si="172"/>
        <v>239</v>
      </c>
      <c r="IB171" s="174">
        <f t="shared" si="173"/>
        <v>398</v>
      </c>
      <c r="IC171" s="174">
        <f t="shared" si="174"/>
        <v>378</v>
      </c>
      <c r="ID171" s="174">
        <f t="shared" si="175"/>
        <v>229</v>
      </c>
      <c r="IE171" s="174">
        <f t="shared" si="176"/>
        <v>368</v>
      </c>
      <c r="IF171" s="174">
        <f t="shared" si="177"/>
        <v>229</v>
      </c>
      <c r="IG171" s="174">
        <f t="shared" si="178"/>
        <v>209</v>
      </c>
      <c r="IH171" s="174">
        <f t="shared" si="179"/>
        <v>199</v>
      </c>
      <c r="II171" s="174">
        <f t="shared" si="180"/>
        <v>179</v>
      </c>
      <c r="IJ171" s="174">
        <v>171</v>
      </c>
    </row>
    <row r="172" spans="1:261" ht="13.35" customHeight="1" x14ac:dyDescent="0.2">
      <c r="A172" s="174">
        <v>26</v>
      </c>
      <c r="B172" s="174">
        <f t="shared" si="183"/>
        <v>65</v>
      </c>
      <c r="E172" s="207"/>
      <c r="EO172" s="174" t="s">
        <v>1837</v>
      </c>
      <c r="EP172" s="174" t="s">
        <v>1875</v>
      </c>
      <c r="EQ172" s="174" t="s">
        <v>1875</v>
      </c>
      <c r="ER172" s="174" t="s">
        <v>1874</v>
      </c>
      <c r="ES172" s="174" t="s">
        <v>1874</v>
      </c>
      <c r="ET172" s="174" t="s">
        <v>1874</v>
      </c>
      <c r="EV172" s="174" t="s">
        <v>1848</v>
      </c>
      <c r="EW172" s="174" t="s">
        <v>1875</v>
      </c>
      <c r="EX172" s="174" t="s">
        <v>1839</v>
      </c>
      <c r="EY172" s="174" t="s">
        <v>1861</v>
      </c>
      <c r="EZ172" s="174" t="s">
        <v>1860</v>
      </c>
      <c r="FF172" s="174" t="s">
        <v>1844</v>
      </c>
      <c r="FI172" s="174" t="s">
        <v>1850</v>
      </c>
      <c r="FJ172" s="174" t="s">
        <v>1848</v>
      </c>
      <c r="FK172" s="174" t="s">
        <v>1844</v>
      </c>
      <c r="FL172" s="174" t="s">
        <v>1832</v>
      </c>
      <c r="FO172" s="174" t="s">
        <v>1831</v>
      </c>
      <c r="FQ172" s="174" t="s">
        <v>1850</v>
      </c>
      <c r="FR172" s="174" t="s">
        <v>1812</v>
      </c>
      <c r="FS172" s="174" t="s">
        <v>1848</v>
      </c>
      <c r="FU172" s="174" t="s">
        <v>1831</v>
      </c>
      <c r="FX172" s="174" t="s">
        <v>1850</v>
      </c>
      <c r="FZ172" s="174" t="s">
        <v>1831</v>
      </c>
      <c r="HA172" s="174">
        <v>11</v>
      </c>
      <c r="HB172" s="197">
        <v>169</v>
      </c>
      <c r="HC172" s="194">
        <v>105</v>
      </c>
      <c r="HD172" s="238">
        <v>129.5</v>
      </c>
      <c r="HE172" s="236">
        <v>25</v>
      </c>
      <c r="HF172" s="183">
        <v>234</v>
      </c>
      <c r="HG172" s="193">
        <f t="shared" si="152"/>
        <v>229</v>
      </c>
      <c r="HH172" s="192" t="e">
        <f t="shared" si="182"/>
        <v>#REF!</v>
      </c>
      <c r="HI172" s="198">
        <v>25</v>
      </c>
      <c r="HJ172" s="185">
        <v>174.5</v>
      </c>
      <c r="HK172" s="174">
        <v>170</v>
      </c>
      <c r="HL172" s="174">
        <f t="shared" si="157"/>
        <v>750</v>
      </c>
      <c r="HM172" s="174">
        <f t="shared" si="158"/>
        <v>740</v>
      </c>
      <c r="HN172" s="174">
        <f t="shared" si="159"/>
        <v>580</v>
      </c>
      <c r="HO172" s="174">
        <f t="shared" si="160"/>
        <v>430</v>
      </c>
      <c r="HP172" s="174">
        <f t="shared" si="161"/>
        <v>290</v>
      </c>
      <c r="HQ172" s="174">
        <f t="shared" si="162"/>
        <v>280</v>
      </c>
      <c r="HR172" s="174">
        <f t="shared" si="163"/>
        <v>280</v>
      </c>
      <c r="HS172" s="174">
        <f t="shared" si="164"/>
        <v>270</v>
      </c>
      <c r="HT172" s="174">
        <f t="shared" si="165"/>
        <v>260</v>
      </c>
      <c r="HU172" s="174">
        <f t="shared" si="166"/>
        <v>570</v>
      </c>
      <c r="HV172" s="174">
        <f t="shared" si="167"/>
        <v>280</v>
      </c>
      <c r="HW172" s="174">
        <f t="shared" si="168"/>
        <v>270</v>
      </c>
      <c r="HX172" s="174">
        <f t="shared" si="169"/>
        <v>410</v>
      </c>
      <c r="HY172" s="174">
        <f t="shared" si="170"/>
        <v>260</v>
      </c>
      <c r="HZ172" s="174">
        <f t="shared" si="171"/>
        <v>250</v>
      </c>
      <c r="IA172" s="174">
        <f t="shared" si="172"/>
        <v>240</v>
      </c>
      <c r="IB172" s="174">
        <f t="shared" si="173"/>
        <v>400</v>
      </c>
      <c r="IC172" s="174">
        <f t="shared" si="174"/>
        <v>380</v>
      </c>
      <c r="ID172" s="174">
        <f t="shared" si="175"/>
        <v>230</v>
      </c>
      <c r="IE172" s="174">
        <f t="shared" si="176"/>
        <v>370</v>
      </c>
      <c r="IF172" s="174">
        <f t="shared" si="177"/>
        <v>230</v>
      </c>
      <c r="IG172" s="174">
        <f t="shared" si="178"/>
        <v>210</v>
      </c>
      <c r="IH172" s="174">
        <f t="shared" si="179"/>
        <v>200</v>
      </c>
      <c r="II172" s="174">
        <f t="shared" si="180"/>
        <v>180</v>
      </c>
      <c r="IJ172" s="174">
        <v>172</v>
      </c>
    </row>
    <row r="173" spans="1:261" ht="13.35" customHeight="1" x14ac:dyDescent="0.2">
      <c r="A173" s="174">
        <v>27</v>
      </c>
      <c r="B173" s="174">
        <f t="shared" si="183"/>
        <v>66</v>
      </c>
      <c r="E173" s="207"/>
      <c r="EO173" s="174" t="s">
        <v>1859</v>
      </c>
      <c r="EP173" s="174" t="s">
        <v>1878</v>
      </c>
      <c r="EQ173" s="174" t="s">
        <v>1878</v>
      </c>
      <c r="ER173" s="174" t="s">
        <v>1877</v>
      </c>
      <c r="ES173" s="174" t="s">
        <v>1877</v>
      </c>
      <c r="ET173" s="174" t="s">
        <v>1877</v>
      </c>
      <c r="EV173" s="174" t="s">
        <v>1850</v>
      </c>
      <c r="EW173" s="174" t="s">
        <v>1878</v>
      </c>
      <c r="EX173" s="174" t="s">
        <v>1875</v>
      </c>
      <c r="EY173" s="174" t="s">
        <v>1840</v>
      </c>
      <c r="EZ173" s="174" t="s">
        <v>1830</v>
      </c>
      <c r="FI173" s="174" t="s">
        <v>1841</v>
      </c>
      <c r="FJ173" s="174" t="s">
        <v>1850</v>
      </c>
      <c r="FK173" s="174" t="s">
        <v>1859</v>
      </c>
      <c r="FO173" s="174" t="s">
        <v>1848</v>
      </c>
      <c r="FQ173" s="174" t="s">
        <v>1841</v>
      </c>
      <c r="FR173" s="174" t="s">
        <v>1837</v>
      </c>
      <c r="FS173" s="174" t="s">
        <v>1850</v>
      </c>
      <c r="FU173" s="174" t="s">
        <v>1848</v>
      </c>
      <c r="FX173" s="174" t="s">
        <v>1836</v>
      </c>
      <c r="FZ173" s="174" t="s">
        <v>1848</v>
      </c>
      <c r="HA173" s="174">
        <v>12</v>
      </c>
      <c r="HB173" s="197">
        <v>170</v>
      </c>
      <c r="HC173" s="194">
        <v>105</v>
      </c>
      <c r="HD173" s="238">
        <v>130</v>
      </c>
      <c r="HE173" s="236">
        <v>25</v>
      </c>
      <c r="HF173" s="183">
        <v>235</v>
      </c>
      <c r="HG173" s="193">
        <f t="shared" si="152"/>
        <v>230</v>
      </c>
      <c r="HH173" s="192" t="e">
        <f t="shared" si="182"/>
        <v>#REF!</v>
      </c>
      <c r="HI173" s="198">
        <v>25</v>
      </c>
      <c r="HJ173" s="185">
        <v>175</v>
      </c>
      <c r="HK173" s="174">
        <v>171</v>
      </c>
      <c r="HL173" s="174">
        <f t="shared" si="157"/>
        <v>754</v>
      </c>
      <c r="HM173" s="174">
        <f t="shared" si="158"/>
        <v>744</v>
      </c>
      <c r="HN173" s="174">
        <f t="shared" si="159"/>
        <v>583</v>
      </c>
      <c r="HO173" s="174">
        <f t="shared" si="160"/>
        <v>432</v>
      </c>
      <c r="HP173" s="174">
        <f t="shared" si="161"/>
        <v>291</v>
      </c>
      <c r="HQ173" s="174">
        <f t="shared" si="162"/>
        <v>281</v>
      </c>
      <c r="HR173" s="174">
        <f t="shared" si="163"/>
        <v>281</v>
      </c>
      <c r="HS173" s="174">
        <f t="shared" si="164"/>
        <v>271</v>
      </c>
      <c r="HT173" s="174">
        <f t="shared" si="165"/>
        <v>261</v>
      </c>
      <c r="HU173" s="174">
        <f t="shared" si="166"/>
        <v>573</v>
      </c>
      <c r="HV173" s="174">
        <f t="shared" si="167"/>
        <v>281</v>
      </c>
      <c r="HW173" s="174">
        <f t="shared" si="168"/>
        <v>271</v>
      </c>
      <c r="HX173" s="174">
        <f t="shared" si="169"/>
        <v>412</v>
      </c>
      <c r="HY173" s="174">
        <f t="shared" si="170"/>
        <v>261</v>
      </c>
      <c r="HZ173" s="174">
        <f t="shared" si="171"/>
        <v>251</v>
      </c>
      <c r="IA173" s="174">
        <f t="shared" si="172"/>
        <v>241</v>
      </c>
      <c r="IB173" s="174">
        <f t="shared" si="173"/>
        <v>402</v>
      </c>
      <c r="IC173" s="174">
        <f t="shared" si="174"/>
        <v>382</v>
      </c>
      <c r="ID173" s="174">
        <f t="shared" si="175"/>
        <v>231</v>
      </c>
      <c r="IE173" s="174">
        <f t="shared" si="176"/>
        <v>372</v>
      </c>
      <c r="IF173" s="174">
        <f t="shared" si="177"/>
        <v>231</v>
      </c>
      <c r="IG173" s="174">
        <f t="shared" si="178"/>
        <v>211</v>
      </c>
      <c r="IH173" s="174">
        <f t="shared" si="179"/>
        <v>201</v>
      </c>
      <c r="II173" s="174">
        <f t="shared" si="180"/>
        <v>181</v>
      </c>
      <c r="IJ173" s="174">
        <v>173</v>
      </c>
    </row>
    <row r="174" spans="1:261" ht="13.35" customHeight="1" x14ac:dyDescent="0.2">
      <c r="A174" s="174">
        <v>28</v>
      </c>
      <c r="B174" s="174">
        <f t="shared" si="183"/>
        <v>67</v>
      </c>
      <c r="E174" s="207"/>
      <c r="EO174" s="174" t="s">
        <v>1810</v>
      </c>
      <c r="EP174" s="174" t="s">
        <v>1879</v>
      </c>
      <c r="EQ174" s="174" t="s">
        <v>1879</v>
      </c>
      <c r="ER174" s="174" t="s">
        <v>1866</v>
      </c>
      <c r="ES174" s="174" t="s">
        <v>1866</v>
      </c>
      <c r="ET174" s="174" t="s">
        <v>1866</v>
      </c>
      <c r="EV174" s="174" t="s">
        <v>1860</v>
      </c>
      <c r="EW174" s="174" t="s">
        <v>1879</v>
      </c>
      <c r="EX174" s="174" t="s">
        <v>1878</v>
      </c>
      <c r="EY174" s="174" t="s">
        <v>1910</v>
      </c>
      <c r="EZ174" s="174" t="s">
        <v>1841</v>
      </c>
      <c r="FI174" s="174" t="s">
        <v>1875</v>
      </c>
      <c r="FJ174" s="174" t="s">
        <v>1860</v>
      </c>
      <c r="FO174" s="174" t="s">
        <v>1850</v>
      </c>
      <c r="FQ174" s="174" t="s">
        <v>1875</v>
      </c>
      <c r="FR174" s="174" t="s">
        <v>1844</v>
      </c>
      <c r="FS174" s="174" t="s">
        <v>1860</v>
      </c>
      <c r="FU174" s="174" t="s">
        <v>1850</v>
      </c>
      <c r="FX174" s="174" t="s">
        <v>1841</v>
      </c>
      <c r="FZ174" s="174" t="s">
        <v>1850</v>
      </c>
      <c r="HA174" s="174">
        <v>13</v>
      </c>
      <c r="HB174" s="197">
        <v>171</v>
      </c>
      <c r="HC174" s="194">
        <v>106</v>
      </c>
      <c r="HD174" s="238">
        <v>130.5</v>
      </c>
      <c r="HE174" s="236">
        <v>25</v>
      </c>
      <c r="HF174" s="183">
        <v>236</v>
      </c>
      <c r="HG174" s="193">
        <f t="shared" si="152"/>
        <v>231</v>
      </c>
      <c r="HH174" s="192" t="e">
        <f t="shared" si="182"/>
        <v>#REF!</v>
      </c>
      <c r="HI174" s="198">
        <v>25</v>
      </c>
      <c r="HJ174" s="185">
        <v>175.5</v>
      </c>
      <c r="HK174" s="174">
        <v>172</v>
      </c>
      <c r="HL174" s="174">
        <f t="shared" si="157"/>
        <v>758</v>
      </c>
      <c r="HM174" s="174">
        <f t="shared" si="158"/>
        <v>748</v>
      </c>
      <c r="HN174" s="174">
        <f t="shared" si="159"/>
        <v>586</v>
      </c>
      <c r="HO174" s="174">
        <f t="shared" si="160"/>
        <v>434</v>
      </c>
      <c r="HP174" s="174">
        <f t="shared" si="161"/>
        <v>292</v>
      </c>
      <c r="HQ174" s="174">
        <f t="shared" si="162"/>
        <v>282</v>
      </c>
      <c r="HR174" s="174">
        <f t="shared" si="163"/>
        <v>282</v>
      </c>
      <c r="HS174" s="174">
        <f t="shared" si="164"/>
        <v>272</v>
      </c>
      <c r="HT174" s="174">
        <f t="shared" si="165"/>
        <v>262</v>
      </c>
      <c r="HU174" s="174">
        <f t="shared" si="166"/>
        <v>576</v>
      </c>
      <c r="HV174" s="174">
        <f t="shared" si="167"/>
        <v>282</v>
      </c>
      <c r="HW174" s="174">
        <f t="shared" si="168"/>
        <v>272</v>
      </c>
      <c r="HX174" s="174">
        <f t="shared" si="169"/>
        <v>414</v>
      </c>
      <c r="HY174" s="174">
        <f t="shared" si="170"/>
        <v>262</v>
      </c>
      <c r="HZ174" s="174">
        <f t="shared" si="171"/>
        <v>252</v>
      </c>
      <c r="IA174" s="174">
        <f t="shared" si="172"/>
        <v>242</v>
      </c>
      <c r="IB174" s="174">
        <f t="shared" si="173"/>
        <v>404</v>
      </c>
      <c r="IC174" s="174">
        <f t="shared" si="174"/>
        <v>384</v>
      </c>
      <c r="ID174" s="174">
        <f t="shared" si="175"/>
        <v>232</v>
      </c>
      <c r="IE174" s="174">
        <f t="shared" si="176"/>
        <v>374</v>
      </c>
      <c r="IF174" s="174">
        <f t="shared" si="177"/>
        <v>232</v>
      </c>
      <c r="IG174" s="174">
        <f t="shared" si="178"/>
        <v>212</v>
      </c>
      <c r="IH174" s="174">
        <f t="shared" si="179"/>
        <v>202</v>
      </c>
      <c r="II174" s="174">
        <f t="shared" si="180"/>
        <v>182</v>
      </c>
      <c r="IJ174" s="174">
        <v>174</v>
      </c>
    </row>
    <row r="175" spans="1:261" ht="13.35" customHeight="1" x14ac:dyDescent="0.2">
      <c r="A175" s="174">
        <v>29</v>
      </c>
      <c r="B175" s="174">
        <f t="shared" si="183"/>
        <v>68</v>
      </c>
      <c r="E175" s="207"/>
      <c r="EO175" s="174" t="s">
        <v>1877</v>
      </c>
      <c r="EP175" s="174" t="s">
        <v>1882</v>
      </c>
      <c r="EQ175" s="174" t="s">
        <v>1882</v>
      </c>
      <c r="ER175" s="174" t="s">
        <v>743</v>
      </c>
      <c r="ES175" s="174" t="s">
        <v>743</v>
      </c>
      <c r="ET175" s="174" t="s">
        <v>743</v>
      </c>
      <c r="EV175" s="174" t="s">
        <v>1839</v>
      </c>
      <c r="EW175" s="174" t="s">
        <v>1882</v>
      </c>
      <c r="EX175" s="174" t="s">
        <v>1879</v>
      </c>
      <c r="EY175" s="174" t="s">
        <v>1912</v>
      </c>
      <c r="EZ175" s="174" t="s">
        <v>1879</v>
      </c>
      <c r="FI175" s="174" t="s">
        <v>1879</v>
      </c>
      <c r="FJ175" s="174" t="s">
        <v>1839</v>
      </c>
      <c r="FO175" s="174" t="s">
        <v>1860</v>
      </c>
      <c r="FQ175" s="174" t="s">
        <v>1879</v>
      </c>
      <c r="FR175" s="174" t="s">
        <v>1830</v>
      </c>
      <c r="FS175" s="174" t="s">
        <v>1839</v>
      </c>
      <c r="FU175" s="174" t="s">
        <v>1860</v>
      </c>
      <c r="FX175" s="174" t="s">
        <v>1881</v>
      </c>
      <c r="FZ175" s="174" t="s">
        <v>1860</v>
      </c>
      <c r="HA175" s="174">
        <v>14</v>
      </c>
      <c r="HB175" s="197">
        <v>172</v>
      </c>
      <c r="HC175" s="194">
        <v>106</v>
      </c>
      <c r="HD175" s="238">
        <v>131</v>
      </c>
      <c r="HE175" s="236">
        <v>25</v>
      </c>
      <c r="HF175" s="183">
        <v>237</v>
      </c>
      <c r="HG175" s="193">
        <f t="shared" si="152"/>
        <v>232</v>
      </c>
      <c r="HH175" s="192" t="e">
        <f t="shared" si="182"/>
        <v>#REF!</v>
      </c>
      <c r="HI175" s="198">
        <v>25</v>
      </c>
      <c r="HJ175" s="185">
        <v>176</v>
      </c>
      <c r="HK175" s="174">
        <v>173</v>
      </c>
      <c r="HL175" s="174">
        <f t="shared" si="157"/>
        <v>762</v>
      </c>
      <c r="HM175" s="174">
        <f t="shared" si="158"/>
        <v>752</v>
      </c>
      <c r="HN175" s="174">
        <f t="shared" si="159"/>
        <v>589</v>
      </c>
      <c r="HO175" s="174">
        <f t="shared" si="160"/>
        <v>436</v>
      </c>
      <c r="HP175" s="174">
        <f t="shared" si="161"/>
        <v>293</v>
      </c>
      <c r="HQ175" s="174">
        <f t="shared" si="162"/>
        <v>283</v>
      </c>
      <c r="HR175" s="174">
        <f t="shared" si="163"/>
        <v>283</v>
      </c>
      <c r="HS175" s="174">
        <f t="shared" si="164"/>
        <v>273</v>
      </c>
      <c r="HT175" s="174">
        <f t="shared" si="165"/>
        <v>263</v>
      </c>
      <c r="HU175" s="174">
        <f t="shared" si="166"/>
        <v>579</v>
      </c>
      <c r="HV175" s="174">
        <f t="shared" si="167"/>
        <v>283</v>
      </c>
      <c r="HW175" s="174">
        <f t="shared" si="168"/>
        <v>273</v>
      </c>
      <c r="HX175" s="174">
        <f t="shared" si="169"/>
        <v>416</v>
      </c>
      <c r="HY175" s="174">
        <f t="shared" si="170"/>
        <v>263</v>
      </c>
      <c r="HZ175" s="174">
        <f t="shared" si="171"/>
        <v>253</v>
      </c>
      <c r="IA175" s="174">
        <f t="shared" si="172"/>
        <v>243</v>
      </c>
      <c r="IB175" s="174">
        <f t="shared" si="173"/>
        <v>406</v>
      </c>
      <c r="IC175" s="174">
        <f t="shared" si="174"/>
        <v>386</v>
      </c>
      <c r="ID175" s="174">
        <f t="shared" si="175"/>
        <v>233</v>
      </c>
      <c r="IE175" s="174">
        <f t="shared" si="176"/>
        <v>376</v>
      </c>
      <c r="IF175" s="174">
        <f t="shared" si="177"/>
        <v>233</v>
      </c>
      <c r="IG175" s="174">
        <f t="shared" si="178"/>
        <v>213</v>
      </c>
      <c r="IH175" s="174">
        <f t="shared" si="179"/>
        <v>203</v>
      </c>
      <c r="II175" s="174">
        <f t="shared" si="180"/>
        <v>183</v>
      </c>
      <c r="IJ175" s="174">
        <v>175</v>
      </c>
    </row>
    <row r="176" spans="1:261" ht="13.35" customHeight="1" x14ac:dyDescent="0.2">
      <c r="A176" s="174">
        <v>30</v>
      </c>
      <c r="B176" s="174">
        <f t="shared" si="183"/>
        <v>69</v>
      </c>
      <c r="E176" s="207"/>
      <c r="F176" s="174" t="s">
        <v>782</v>
      </c>
      <c r="G176" s="174" t="s">
        <v>783</v>
      </c>
      <c r="H176" s="174" t="s">
        <v>784</v>
      </c>
      <c r="I176" s="174" t="s">
        <v>785</v>
      </c>
      <c r="J176" s="174" t="s">
        <v>786</v>
      </c>
      <c r="K176" s="174" t="s">
        <v>787</v>
      </c>
      <c r="L176" s="174" t="s">
        <v>788</v>
      </c>
      <c r="M176" s="174" t="s">
        <v>789</v>
      </c>
      <c r="N176" s="174" t="s">
        <v>790</v>
      </c>
      <c r="O176" s="174" t="s">
        <v>791</v>
      </c>
      <c r="P176" s="174" t="s">
        <v>792</v>
      </c>
      <c r="Q176" s="174" t="s">
        <v>793</v>
      </c>
      <c r="R176" s="174" t="s">
        <v>794</v>
      </c>
      <c r="S176" s="174" t="s">
        <v>182</v>
      </c>
      <c r="T176" s="174" t="s">
        <v>795</v>
      </c>
      <c r="U176" s="174" t="s">
        <v>796</v>
      </c>
      <c r="V176" s="174" t="s">
        <v>797</v>
      </c>
      <c r="W176" s="174" t="s">
        <v>798</v>
      </c>
      <c r="X176" s="174" t="s">
        <v>799</v>
      </c>
      <c r="Y176" s="174" t="s">
        <v>800</v>
      </c>
      <c r="AA176" s="174" t="str">
        <f>AA163</f>
        <v>Arcanist (AC)</v>
      </c>
      <c r="AB176" s="174" t="str">
        <f>AB163</f>
        <v>Wizard (AC)</v>
      </c>
      <c r="AC176" s="174" t="str">
        <f>AC163</f>
        <v>Chaotic (AC)</v>
      </c>
      <c r="AD176" s="174" t="str">
        <f>AD163</f>
        <v>Magehunter (AC)</v>
      </c>
      <c r="AF176" s="174" t="s">
        <v>805</v>
      </c>
      <c r="AG176" s="174" t="s">
        <v>806</v>
      </c>
      <c r="AH176" s="174" t="s">
        <v>807</v>
      </c>
      <c r="AJ176" s="174" t="s">
        <v>808</v>
      </c>
      <c r="AK176" s="174" t="s">
        <v>809</v>
      </c>
      <c r="AL176" s="174" t="s">
        <v>810</v>
      </c>
      <c r="AM176" s="174" t="s">
        <v>811</v>
      </c>
      <c r="AO176" s="174" t="s">
        <v>812</v>
      </c>
      <c r="AP176" s="174" t="s">
        <v>813</v>
      </c>
      <c r="AQ176" s="174" t="s">
        <v>814</v>
      </c>
      <c r="AS176" s="174" t="s">
        <v>815</v>
      </c>
      <c r="AT176" s="174" t="s">
        <v>816</v>
      </c>
      <c r="AU176" s="174" t="s">
        <v>817</v>
      </c>
      <c r="AV176" s="174" t="s">
        <v>818</v>
      </c>
      <c r="AW176" s="174" t="s">
        <v>819</v>
      </c>
      <c r="AX176" s="174" t="s">
        <v>820</v>
      </c>
      <c r="AY176" s="174" t="s">
        <v>821</v>
      </c>
      <c r="AZ176" s="174" t="s">
        <v>822</v>
      </c>
      <c r="BA176" s="174" t="str">
        <f t="shared" ref="BA176:CV176" si="184">BA163</f>
        <v>Priest of Culture</v>
      </c>
      <c r="BB176" s="174" t="str">
        <f t="shared" si="184"/>
        <v>Priest of Darkness, Night</v>
      </c>
      <c r="BC176" s="174" t="str">
        <f t="shared" si="184"/>
        <v>Priest of Dawn</v>
      </c>
      <c r="BD176" s="174" t="str">
        <f t="shared" si="184"/>
        <v>Priest of Death</v>
      </c>
      <c r="BE176" s="174" t="str">
        <f t="shared" si="184"/>
        <v>Priest of Disease</v>
      </c>
      <c r="BF176" s="174" t="str">
        <f t="shared" si="184"/>
        <v>Priest of Earth</v>
      </c>
      <c r="BG176" s="174" t="str">
        <f t="shared" si="184"/>
        <v>Priest of Fate, Destiny</v>
      </c>
      <c r="BH176" s="174" t="str">
        <f t="shared" si="184"/>
        <v>Priest of Fertility</v>
      </c>
      <c r="BI176" s="174" t="str">
        <f t="shared" si="184"/>
        <v>Priest of Fire</v>
      </c>
      <c r="BJ176" s="174" t="str">
        <f t="shared" si="184"/>
        <v>Priest of Fortune, Luck</v>
      </c>
      <c r="BK176" s="174" t="str">
        <f t="shared" si="184"/>
        <v>Priest of Guardianship</v>
      </c>
      <c r="BL176" s="174" t="str">
        <f t="shared" si="184"/>
        <v>Priest of Healing</v>
      </c>
      <c r="BM176" s="174" t="str">
        <f t="shared" si="184"/>
        <v>Priest of Hunting</v>
      </c>
      <c r="BN176" s="174" t="str">
        <f t="shared" si="184"/>
        <v>Priest of Justice, Revenge</v>
      </c>
      <c r="BO176" s="174" t="str">
        <f t="shared" si="184"/>
        <v>Priest of Light</v>
      </c>
      <c r="BP176" s="174" t="str">
        <f t="shared" si="184"/>
        <v>Priest of Lightning</v>
      </c>
      <c r="BQ176" s="174" t="str">
        <f t="shared" si="184"/>
        <v>Priest of Literature</v>
      </c>
      <c r="BR176" s="174" t="str">
        <f t="shared" si="184"/>
        <v>Priest of Love</v>
      </c>
      <c r="BS176" s="174" t="str">
        <f t="shared" si="184"/>
        <v>Priest of Magic</v>
      </c>
      <c r="BT176" s="174" t="str">
        <f t="shared" si="184"/>
        <v>Priest of Marriage</v>
      </c>
      <c r="BU176" s="174" t="str">
        <f t="shared" si="184"/>
        <v>Priest of Messengers</v>
      </c>
      <c r="BV176" s="174" t="str">
        <f t="shared" si="184"/>
        <v>Priest of Metalwork</v>
      </c>
      <c r="BW176" s="174" t="str">
        <f t="shared" si="184"/>
        <v>Priest of Mischief/Trickery</v>
      </c>
      <c r="BX176" s="174" t="str">
        <f t="shared" si="184"/>
        <v>Priest of Moon</v>
      </c>
      <c r="BY176" s="174" t="str">
        <f t="shared" si="184"/>
        <v>Priest of Music, Dance</v>
      </c>
      <c r="BZ176" s="174" t="str">
        <f t="shared" si="184"/>
        <v>Priest of Nature</v>
      </c>
      <c r="CA176" s="174" t="str">
        <f t="shared" si="184"/>
        <v>Priest of Ocean, Rivers</v>
      </c>
      <c r="CB176" s="174" t="str">
        <f t="shared" si="184"/>
        <v>Priest of Oracles</v>
      </c>
      <c r="CC176" s="174" t="str">
        <f t="shared" si="184"/>
        <v>Priest of Peace</v>
      </c>
      <c r="CD176" s="174" t="str">
        <f t="shared" si="184"/>
        <v>Priest of Prosperity</v>
      </c>
      <c r="CE176" s="174" t="str">
        <f t="shared" si="184"/>
        <v>Priest of Redemption</v>
      </c>
      <c r="CF176" s="174" t="str">
        <f t="shared" si="184"/>
        <v>Priest of Rulership</v>
      </c>
      <c r="CG176" s="174" t="str">
        <f t="shared" si="184"/>
        <v>Priest of Seasons</v>
      </c>
      <c r="CH176" s="174" t="str">
        <f t="shared" si="184"/>
        <v>Priest of Sky, Weather</v>
      </c>
      <c r="CI176" s="174" t="str">
        <f t="shared" si="184"/>
        <v>Priest of Strength</v>
      </c>
      <c r="CJ176" s="174" t="str">
        <f t="shared" si="184"/>
        <v>Priest of Sun</v>
      </c>
      <c r="CK176" s="174" t="str">
        <f t="shared" si="184"/>
        <v>Priest of Thunder</v>
      </c>
      <c r="CL176" s="174" t="str">
        <f t="shared" si="184"/>
        <v>Priest of Time</v>
      </c>
      <c r="CM176" s="174" t="str">
        <f t="shared" si="184"/>
        <v>Priest of Trade</v>
      </c>
      <c r="CN176" s="174" t="str">
        <f t="shared" si="184"/>
        <v>Priest of Vegetation</v>
      </c>
      <c r="CO176" s="174" t="str">
        <f t="shared" si="184"/>
        <v>Priest of War</v>
      </c>
      <c r="CP176" s="174" t="str">
        <f t="shared" si="184"/>
        <v>Priest of Wind</v>
      </c>
      <c r="CQ176" s="174" t="str">
        <f t="shared" si="184"/>
        <v>Priest of Wisdom</v>
      </c>
      <c r="CR176" s="174">
        <f t="shared" si="184"/>
        <v>0</v>
      </c>
      <c r="CS176" s="174" t="str">
        <f t="shared" si="184"/>
        <v>Barbarian (FRP)</v>
      </c>
      <c r="CT176" s="174" t="str">
        <f t="shared" si="184"/>
        <v>Outrider (FRP)</v>
      </c>
      <c r="CU176" s="174" t="str">
        <f t="shared" si="184"/>
        <v>Sage (FRP)</v>
      </c>
      <c r="CV176" s="174" t="str">
        <f t="shared" si="184"/>
        <v>Swashbuckler (FRP)</v>
      </c>
      <c r="CX176" s="174" t="s">
        <v>870</v>
      </c>
      <c r="CY176" s="174" t="s">
        <v>871</v>
      </c>
      <c r="CZ176" s="174" t="s">
        <v>872</v>
      </c>
      <c r="DA176" s="174" t="s">
        <v>1149</v>
      </c>
      <c r="DB176" s="174" t="s">
        <v>874</v>
      </c>
      <c r="DC176" s="174" t="s">
        <v>875</v>
      </c>
      <c r="DD176" s="174" t="s">
        <v>876</v>
      </c>
      <c r="DF176" s="174">
        <v>1</v>
      </c>
      <c r="EO176" s="174" t="s">
        <v>1866</v>
      </c>
      <c r="EP176" s="174" t="s">
        <v>1884</v>
      </c>
      <c r="EQ176" s="174" t="s">
        <v>1884</v>
      </c>
      <c r="EV176" s="174" t="s">
        <v>1841</v>
      </c>
      <c r="EW176" s="174" t="s">
        <v>1884</v>
      </c>
      <c r="EX176" s="174" t="s">
        <v>1882</v>
      </c>
      <c r="EZ176" s="174" t="s">
        <v>1882</v>
      </c>
      <c r="FI176" s="174" t="s">
        <v>1882</v>
      </c>
      <c r="FJ176" s="174" t="s">
        <v>1841</v>
      </c>
      <c r="FO176" s="174" t="s">
        <v>1841</v>
      </c>
      <c r="FQ176" s="174" t="s">
        <v>1882</v>
      </c>
      <c r="FS176" s="174" t="s">
        <v>1841</v>
      </c>
      <c r="FU176" s="174" t="s">
        <v>1841</v>
      </c>
      <c r="FX176" s="174" t="s">
        <v>1884</v>
      </c>
      <c r="FZ176" s="174" t="s">
        <v>1841</v>
      </c>
      <c r="HA176" s="174">
        <v>15</v>
      </c>
      <c r="HB176" s="197">
        <v>173</v>
      </c>
      <c r="HC176" s="194">
        <v>107</v>
      </c>
      <c r="HD176" s="238">
        <v>131.5</v>
      </c>
      <c r="HE176" s="236">
        <v>25</v>
      </c>
      <c r="HF176" s="183">
        <v>238</v>
      </c>
      <c r="HG176" s="193">
        <f t="shared" si="152"/>
        <v>233</v>
      </c>
      <c r="HH176" s="192" t="e">
        <f t="shared" si="182"/>
        <v>#REF!</v>
      </c>
      <c r="HI176" s="198">
        <v>25</v>
      </c>
      <c r="HJ176" s="185">
        <v>176.5</v>
      </c>
      <c r="HK176" s="174">
        <v>174</v>
      </c>
      <c r="HL176" s="174">
        <f t="shared" si="157"/>
        <v>766</v>
      </c>
      <c r="HM176" s="174">
        <f t="shared" si="158"/>
        <v>756</v>
      </c>
      <c r="HN176" s="174">
        <f t="shared" si="159"/>
        <v>592</v>
      </c>
      <c r="HO176" s="174">
        <f t="shared" si="160"/>
        <v>438</v>
      </c>
      <c r="HP176" s="174">
        <f t="shared" si="161"/>
        <v>294</v>
      </c>
      <c r="HQ176" s="174">
        <f t="shared" si="162"/>
        <v>284</v>
      </c>
      <c r="HR176" s="174">
        <f t="shared" si="163"/>
        <v>284</v>
      </c>
      <c r="HS176" s="174">
        <f t="shared" si="164"/>
        <v>274</v>
      </c>
      <c r="HT176" s="174">
        <f t="shared" si="165"/>
        <v>264</v>
      </c>
      <c r="HU176" s="174">
        <f t="shared" si="166"/>
        <v>582</v>
      </c>
      <c r="HV176" s="174">
        <f t="shared" si="167"/>
        <v>284</v>
      </c>
      <c r="HW176" s="174">
        <f t="shared" si="168"/>
        <v>274</v>
      </c>
      <c r="HX176" s="174">
        <f t="shared" si="169"/>
        <v>418</v>
      </c>
      <c r="HY176" s="174">
        <f t="shared" si="170"/>
        <v>264</v>
      </c>
      <c r="HZ176" s="174">
        <f t="shared" si="171"/>
        <v>254</v>
      </c>
      <c r="IA176" s="174">
        <f t="shared" si="172"/>
        <v>244</v>
      </c>
      <c r="IB176" s="174">
        <f t="shared" si="173"/>
        <v>408</v>
      </c>
      <c r="IC176" s="174">
        <f t="shared" si="174"/>
        <v>388</v>
      </c>
      <c r="ID176" s="174">
        <f t="shared" si="175"/>
        <v>234</v>
      </c>
      <c r="IE176" s="174">
        <f t="shared" si="176"/>
        <v>378</v>
      </c>
      <c r="IF176" s="174">
        <f t="shared" si="177"/>
        <v>234</v>
      </c>
      <c r="IG176" s="174">
        <f t="shared" si="178"/>
        <v>214</v>
      </c>
      <c r="IH176" s="174">
        <f t="shared" si="179"/>
        <v>204</v>
      </c>
      <c r="II176" s="174">
        <f t="shared" si="180"/>
        <v>184</v>
      </c>
      <c r="IJ176" s="174">
        <v>176</v>
      </c>
    </row>
    <row r="177" spans="1:244" ht="13.35" customHeight="1" x14ac:dyDescent="0.2">
      <c r="A177" s="174">
        <v>31</v>
      </c>
      <c r="B177" s="174">
        <f t="shared" si="183"/>
        <v>70</v>
      </c>
      <c r="E177" s="207"/>
      <c r="F177" s="174" t="s">
        <v>248</v>
      </c>
      <c r="G177" s="174" t="s">
        <v>248</v>
      </c>
      <c r="H177" s="174" t="s">
        <v>248</v>
      </c>
      <c r="I177" s="174" t="s">
        <v>248</v>
      </c>
      <c r="J177" s="174" t="s">
        <v>248</v>
      </c>
      <c r="K177" s="174" t="s">
        <v>248</v>
      </c>
      <c r="L177" s="174" t="s">
        <v>248</v>
      </c>
      <c r="M177" s="174" t="s">
        <v>1885</v>
      </c>
      <c r="N177" s="174" t="s">
        <v>1885</v>
      </c>
      <c r="O177" s="174" t="s">
        <v>248</v>
      </c>
      <c r="P177" s="174" t="s">
        <v>248</v>
      </c>
      <c r="Q177" s="174" t="s">
        <v>1885</v>
      </c>
      <c r="R177" s="174" t="s">
        <v>248</v>
      </c>
      <c r="S177" s="174" t="s">
        <v>1885</v>
      </c>
      <c r="T177" s="174" t="s">
        <v>1885</v>
      </c>
      <c r="U177" s="174" t="s">
        <v>1885</v>
      </c>
      <c r="V177" s="174" t="s">
        <v>248</v>
      </c>
      <c r="W177" s="174" t="s">
        <v>248</v>
      </c>
      <c r="X177" s="174" t="s">
        <v>248</v>
      </c>
      <c r="Y177" s="174" t="s">
        <v>248</v>
      </c>
      <c r="AA177" s="174" t="s">
        <v>248</v>
      </c>
      <c r="AB177" s="174" t="s">
        <v>248</v>
      </c>
      <c r="AC177" s="174" t="s">
        <v>248</v>
      </c>
      <c r="AD177" s="174" t="s">
        <v>248</v>
      </c>
      <c r="AF177" s="174" t="s">
        <v>1885</v>
      </c>
      <c r="AG177" s="174" t="s">
        <v>248</v>
      </c>
      <c r="AH177" s="174" t="s">
        <v>248</v>
      </c>
      <c r="AJ177" s="174" t="s">
        <v>248</v>
      </c>
      <c r="AK177" s="174" t="s">
        <v>248</v>
      </c>
      <c r="AL177" s="174" t="s">
        <v>248</v>
      </c>
      <c r="AM177" s="174" t="s">
        <v>1885</v>
      </c>
      <c r="AO177" s="174" t="s">
        <v>1885</v>
      </c>
      <c r="AP177" s="174" t="s">
        <v>1885</v>
      </c>
      <c r="AQ177" s="174" t="s">
        <v>1885</v>
      </c>
      <c r="AS177" s="174" t="s">
        <v>1886</v>
      </c>
      <c r="AT177" s="174" t="s">
        <v>1887</v>
      </c>
      <c r="AU177" s="174" t="s">
        <v>1888</v>
      </c>
      <c r="AV177" s="174" t="s">
        <v>1889</v>
      </c>
      <c r="AW177" s="174" t="s">
        <v>1890</v>
      </c>
      <c r="AX177" s="174" t="s">
        <v>1891</v>
      </c>
      <c r="AY177" s="174" t="s">
        <v>1891</v>
      </c>
      <c r="AZ177" s="174" t="s">
        <v>1892</v>
      </c>
      <c r="BA177" s="174" t="s">
        <v>1887</v>
      </c>
      <c r="BB177" s="174" t="s">
        <v>1893</v>
      </c>
      <c r="BC177" s="174" t="s">
        <v>1885</v>
      </c>
      <c r="BD177" s="174" t="s">
        <v>1894</v>
      </c>
      <c r="BE177" s="174" t="s">
        <v>1893</v>
      </c>
      <c r="BF177" s="174" t="s">
        <v>1892</v>
      </c>
      <c r="BG177" s="174" t="s">
        <v>1894</v>
      </c>
      <c r="BH177" s="174" t="s">
        <v>1886</v>
      </c>
      <c r="BI177" s="174" t="s">
        <v>1885</v>
      </c>
      <c r="BJ177" s="174" t="s">
        <v>1895</v>
      </c>
      <c r="BK177" s="174" t="s">
        <v>1896</v>
      </c>
      <c r="BL177" s="174" t="s">
        <v>1897</v>
      </c>
      <c r="BM177" s="174" t="s">
        <v>1888</v>
      </c>
      <c r="BN177" s="174" t="s">
        <v>1894</v>
      </c>
      <c r="BO177" s="174" t="s">
        <v>1898</v>
      </c>
      <c r="BP177" s="174" t="s">
        <v>1899</v>
      </c>
      <c r="BQ177" s="174" t="s">
        <v>1887</v>
      </c>
      <c r="BR177" s="174" t="s">
        <v>1895</v>
      </c>
      <c r="BS177" s="174" t="s">
        <v>1900</v>
      </c>
      <c r="BT177" s="174" t="s">
        <v>172</v>
      </c>
      <c r="BU177" s="174" t="s">
        <v>1894</v>
      </c>
      <c r="BV177" s="174" t="s">
        <v>1892</v>
      </c>
      <c r="BW177" s="174" t="s">
        <v>1901</v>
      </c>
      <c r="BX177" s="174" t="s">
        <v>1900</v>
      </c>
      <c r="BY177" s="174" t="s">
        <v>1902</v>
      </c>
      <c r="BZ177" s="174" t="s">
        <v>1886</v>
      </c>
      <c r="CA177" s="174" t="s">
        <v>1903</v>
      </c>
      <c r="CB177" s="174" t="s">
        <v>1895</v>
      </c>
      <c r="CC177" s="174" t="s">
        <v>1904</v>
      </c>
      <c r="CD177" s="174" t="s">
        <v>1892</v>
      </c>
      <c r="CE177" s="174" t="s">
        <v>1905</v>
      </c>
      <c r="CF177" s="174" t="s">
        <v>1899</v>
      </c>
      <c r="CG177" s="174" t="s">
        <v>1886</v>
      </c>
      <c r="CH177" s="174" t="s">
        <v>1899</v>
      </c>
      <c r="CI177" s="174" t="s">
        <v>1891</v>
      </c>
      <c r="CJ177" s="174" t="s">
        <v>1885</v>
      </c>
      <c r="CK177" s="174" t="s">
        <v>1899</v>
      </c>
      <c r="CL177" s="174" t="s">
        <v>1894</v>
      </c>
      <c r="CM177" s="174" t="s">
        <v>1892</v>
      </c>
      <c r="CN177" s="174" t="s">
        <v>1886</v>
      </c>
      <c r="CO177" s="174" t="s">
        <v>1896</v>
      </c>
      <c r="CP177" s="174" t="s">
        <v>1899</v>
      </c>
      <c r="CQ177" s="174" t="s">
        <v>1899</v>
      </c>
      <c r="CS177" s="174" t="s">
        <v>248</v>
      </c>
      <c r="CT177" s="174" t="s">
        <v>248</v>
      </c>
      <c r="CU177" s="174" t="s">
        <v>248</v>
      </c>
      <c r="CV177" s="174" t="s">
        <v>248</v>
      </c>
      <c r="DF177" s="174">
        <v>2</v>
      </c>
      <c r="EO177" s="174" t="s">
        <v>743</v>
      </c>
      <c r="EV177" s="174" t="s">
        <v>1875</v>
      </c>
      <c r="EX177" s="174" t="s">
        <v>1884</v>
      </c>
      <c r="EZ177" s="174" t="s">
        <v>1861</v>
      </c>
      <c r="FJ177" s="174" t="s">
        <v>1875</v>
      </c>
      <c r="FO177" s="174" t="s">
        <v>1876</v>
      </c>
      <c r="FS177" s="174" t="s">
        <v>1875</v>
      </c>
      <c r="FU177" s="174" t="s">
        <v>1876</v>
      </c>
      <c r="FX177" s="174" t="s">
        <v>1878</v>
      </c>
      <c r="FZ177" s="174" t="s">
        <v>1876</v>
      </c>
      <c r="HA177" s="174">
        <v>16</v>
      </c>
      <c r="HB177" s="197">
        <v>174</v>
      </c>
      <c r="HC177" s="194">
        <v>107</v>
      </c>
      <c r="HD177" s="238">
        <v>132</v>
      </c>
      <c r="HE177" s="236">
        <v>25</v>
      </c>
      <c r="HF177" s="183">
        <v>239</v>
      </c>
      <c r="HG177" s="193">
        <f t="shared" si="152"/>
        <v>234</v>
      </c>
      <c r="HH177" s="192" t="e">
        <f t="shared" si="182"/>
        <v>#REF!</v>
      </c>
      <c r="HI177" s="198">
        <v>25</v>
      </c>
      <c r="HJ177" s="185">
        <v>177</v>
      </c>
      <c r="HK177" s="174">
        <v>175</v>
      </c>
      <c r="HL177" s="174">
        <f t="shared" si="157"/>
        <v>770</v>
      </c>
      <c r="HM177" s="174">
        <f t="shared" si="158"/>
        <v>760</v>
      </c>
      <c r="HN177" s="174">
        <f t="shared" si="159"/>
        <v>595</v>
      </c>
      <c r="HO177" s="174">
        <f t="shared" si="160"/>
        <v>440</v>
      </c>
      <c r="HP177" s="174">
        <f t="shared" si="161"/>
        <v>295</v>
      </c>
      <c r="HQ177" s="174">
        <f t="shared" si="162"/>
        <v>285</v>
      </c>
      <c r="HR177" s="174">
        <f t="shared" si="163"/>
        <v>285</v>
      </c>
      <c r="HS177" s="174">
        <f t="shared" si="164"/>
        <v>275</v>
      </c>
      <c r="HT177" s="174">
        <f t="shared" si="165"/>
        <v>265</v>
      </c>
      <c r="HU177" s="174">
        <f t="shared" si="166"/>
        <v>585</v>
      </c>
      <c r="HV177" s="174">
        <f t="shared" si="167"/>
        <v>285</v>
      </c>
      <c r="HW177" s="174">
        <f t="shared" si="168"/>
        <v>275</v>
      </c>
      <c r="HX177" s="174">
        <f t="shared" si="169"/>
        <v>420</v>
      </c>
      <c r="HY177" s="174">
        <f t="shared" si="170"/>
        <v>265</v>
      </c>
      <c r="HZ177" s="174">
        <f t="shared" si="171"/>
        <v>255</v>
      </c>
      <c r="IA177" s="174">
        <f t="shared" si="172"/>
        <v>245</v>
      </c>
      <c r="IB177" s="174">
        <f t="shared" si="173"/>
        <v>410</v>
      </c>
      <c r="IC177" s="174">
        <f t="shared" si="174"/>
        <v>390</v>
      </c>
      <c r="ID177" s="174">
        <f t="shared" si="175"/>
        <v>235</v>
      </c>
      <c r="IE177" s="174">
        <f t="shared" si="176"/>
        <v>380</v>
      </c>
      <c r="IF177" s="174">
        <f t="shared" si="177"/>
        <v>235</v>
      </c>
      <c r="IG177" s="174">
        <f t="shared" si="178"/>
        <v>215</v>
      </c>
      <c r="IH177" s="174">
        <f t="shared" si="179"/>
        <v>205</v>
      </c>
      <c r="II177" s="174">
        <f t="shared" si="180"/>
        <v>185</v>
      </c>
      <c r="IJ177" s="174">
        <v>177</v>
      </c>
    </row>
    <row r="178" spans="1:244" ht="13.35" customHeight="1" x14ac:dyDescent="0.2">
      <c r="A178" s="174">
        <v>32</v>
      </c>
      <c r="B178" s="174">
        <f t="shared" si="183"/>
        <v>71</v>
      </c>
      <c r="D178" s="174" t="s">
        <v>1886</v>
      </c>
      <c r="E178" s="174" t="s">
        <v>1907</v>
      </c>
      <c r="F178" s="174" t="s">
        <v>1885</v>
      </c>
      <c r="G178" s="174" t="s">
        <v>1885</v>
      </c>
      <c r="H178" s="174" t="s">
        <v>1885</v>
      </c>
      <c r="I178" s="174" t="s">
        <v>1885</v>
      </c>
      <c r="J178" s="174" t="s">
        <v>1885</v>
      </c>
      <c r="K178" s="174" t="s">
        <v>1885</v>
      </c>
      <c r="L178" s="174" t="s">
        <v>1885</v>
      </c>
      <c r="M178" s="174" t="s">
        <v>1892</v>
      </c>
      <c r="N178" s="174" t="s">
        <v>1892</v>
      </c>
      <c r="O178" s="174" t="s">
        <v>1885</v>
      </c>
      <c r="P178" s="174" t="s">
        <v>1885</v>
      </c>
      <c r="Q178" s="174" t="s">
        <v>1892</v>
      </c>
      <c r="R178" s="174" t="s">
        <v>1885</v>
      </c>
      <c r="S178" s="174" t="s">
        <v>1892</v>
      </c>
      <c r="T178" s="174" t="s">
        <v>1892</v>
      </c>
      <c r="U178" s="174" t="s">
        <v>1892</v>
      </c>
      <c r="V178" s="174" t="s">
        <v>1885</v>
      </c>
      <c r="W178" s="174" t="s">
        <v>1885</v>
      </c>
      <c r="X178" s="174" t="s">
        <v>1885</v>
      </c>
      <c r="Y178" s="174" t="s">
        <v>1885</v>
      </c>
      <c r="AA178" s="174" t="s">
        <v>1885</v>
      </c>
      <c r="AB178" s="174" t="s">
        <v>1885</v>
      </c>
      <c r="AC178" s="174" t="s">
        <v>1885</v>
      </c>
      <c r="AD178" s="174" t="s">
        <v>1885</v>
      </c>
      <c r="AF178" s="174" t="s">
        <v>1892</v>
      </c>
      <c r="AG178" s="174" t="s">
        <v>1885</v>
      </c>
      <c r="AH178" s="174" t="s">
        <v>1885</v>
      </c>
      <c r="AJ178" s="174" t="s">
        <v>1885</v>
      </c>
      <c r="AK178" s="174" t="s">
        <v>1885</v>
      </c>
      <c r="AL178" s="174" t="s">
        <v>1885</v>
      </c>
      <c r="AM178" s="174" t="s">
        <v>1892</v>
      </c>
      <c r="AO178" s="174" t="s">
        <v>1892</v>
      </c>
      <c r="AP178" s="174" t="s">
        <v>1892</v>
      </c>
      <c r="AQ178" s="174" t="s">
        <v>1892</v>
      </c>
      <c r="CS178" s="174" t="s">
        <v>1885</v>
      </c>
      <c r="CT178" s="174" t="s">
        <v>1885</v>
      </c>
      <c r="CU178" s="174" t="s">
        <v>1885</v>
      </c>
      <c r="CV178" s="174" t="s">
        <v>1885</v>
      </c>
      <c r="DF178" s="174">
        <v>3</v>
      </c>
      <c r="EV178" s="174" t="s">
        <v>1879</v>
      </c>
      <c r="EZ178" s="174" t="s">
        <v>1840</v>
      </c>
      <c r="FJ178" s="174" t="s">
        <v>1879</v>
      </c>
      <c r="FO178" s="174" t="s">
        <v>1875</v>
      </c>
      <c r="FS178" s="174" t="s">
        <v>1879</v>
      </c>
      <c r="FU178" s="174" t="s">
        <v>1875</v>
      </c>
      <c r="FX178" s="174" t="s">
        <v>1879</v>
      </c>
      <c r="FZ178" s="174" t="s">
        <v>1875</v>
      </c>
      <c r="HA178" s="174">
        <v>17</v>
      </c>
      <c r="HB178" s="197">
        <v>175</v>
      </c>
      <c r="HC178" s="194">
        <v>108</v>
      </c>
      <c r="HD178" s="238">
        <v>132.5</v>
      </c>
      <c r="HE178" s="236">
        <v>25</v>
      </c>
      <c r="HF178" s="183">
        <v>240</v>
      </c>
      <c r="HG178" s="193">
        <f t="shared" si="152"/>
        <v>235</v>
      </c>
      <c r="HH178" s="192" t="e">
        <f t="shared" si="182"/>
        <v>#REF!</v>
      </c>
      <c r="HI178" s="198">
        <v>25</v>
      </c>
      <c r="HJ178" s="185">
        <v>177.5</v>
      </c>
      <c r="HK178" s="174">
        <v>176</v>
      </c>
      <c r="HL178" s="174">
        <f t="shared" si="157"/>
        <v>774</v>
      </c>
      <c r="HM178" s="174">
        <f t="shared" si="158"/>
        <v>764</v>
      </c>
      <c r="HN178" s="174">
        <f t="shared" si="159"/>
        <v>598</v>
      </c>
      <c r="HO178" s="174">
        <f t="shared" si="160"/>
        <v>442</v>
      </c>
      <c r="HP178" s="174">
        <f t="shared" si="161"/>
        <v>296</v>
      </c>
      <c r="HQ178" s="174">
        <f t="shared" si="162"/>
        <v>286</v>
      </c>
      <c r="HR178" s="174">
        <f t="shared" si="163"/>
        <v>286</v>
      </c>
      <c r="HS178" s="174">
        <f t="shared" si="164"/>
        <v>276</v>
      </c>
      <c r="HT178" s="174">
        <f t="shared" si="165"/>
        <v>266</v>
      </c>
      <c r="HU178" s="174">
        <f t="shared" si="166"/>
        <v>588</v>
      </c>
      <c r="HV178" s="174">
        <f t="shared" si="167"/>
        <v>286</v>
      </c>
      <c r="HW178" s="174">
        <f t="shared" si="168"/>
        <v>276</v>
      </c>
      <c r="HX178" s="174">
        <f t="shared" si="169"/>
        <v>422</v>
      </c>
      <c r="HY178" s="174">
        <f t="shared" si="170"/>
        <v>266</v>
      </c>
      <c r="HZ178" s="174">
        <f t="shared" si="171"/>
        <v>256</v>
      </c>
      <c r="IA178" s="174">
        <f t="shared" si="172"/>
        <v>246</v>
      </c>
      <c r="IB178" s="174">
        <f t="shared" si="173"/>
        <v>412</v>
      </c>
      <c r="IC178" s="174">
        <f t="shared" si="174"/>
        <v>392</v>
      </c>
      <c r="ID178" s="174">
        <f t="shared" si="175"/>
        <v>236</v>
      </c>
      <c r="IE178" s="174">
        <f t="shared" si="176"/>
        <v>382</v>
      </c>
      <c r="IF178" s="174">
        <f t="shared" si="177"/>
        <v>236</v>
      </c>
      <c r="IG178" s="174">
        <f t="shared" si="178"/>
        <v>216</v>
      </c>
      <c r="IH178" s="174">
        <f t="shared" si="179"/>
        <v>206</v>
      </c>
      <c r="II178" s="174">
        <f t="shared" si="180"/>
        <v>186</v>
      </c>
      <c r="IJ178" s="174">
        <v>178</v>
      </c>
    </row>
    <row r="179" spans="1:244" ht="13.35" customHeight="1" x14ac:dyDescent="0.2">
      <c r="A179" s="174">
        <v>33</v>
      </c>
      <c r="B179" s="174">
        <f t="shared" si="183"/>
        <v>72</v>
      </c>
      <c r="D179" s="174" t="s">
        <v>1899</v>
      </c>
      <c r="E179" s="174" t="s">
        <v>1908</v>
      </c>
      <c r="F179" s="174" t="s">
        <v>1892</v>
      </c>
      <c r="G179" s="174" t="s">
        <v>1892</v>
      </c>
      <c r="H179" s="174" t="s">
        <v>1892</v>
      </c>
      <c r="I179" s="174" t="s">
        <v>1892</v>
      </c>
      <c r="J179" s="174" t="s">
        <v>1892</v>
      </c>
      <c r="K179" s="174" t="s">
        <v>1892</v>
      </c>
      <c r="L179" s="174" t="s">
        <v>1892</v>
      </c>
      <c r="M179" s="174" t="s">
        <v>1901</v>
      </c>
      <c r="N179" s="174" t="s">
        <v>1901</v>
      </c>
      <c r="O179" s="174" t="s">
        <v>1892</v>
      </c>
      <c r="P179" s="174" t="s">
        <v>1892</v>
      </c>
      <c r="Q179" s="174" t="s">
        <v>1901</v>
      </c>
      <c r="R179" s="174" t="s">
        <v>1892</v>
      </c>
      <c r="S179" s="174" t="s">
        <v>1901</v>
      </c>
      <c r="T179" s="174" t="s">
        <v>1901</v>
      </c>
      <c r="U179" s="174" t="s">
        <v>1901</v>
      </c>
      <c r="V179" s="174" t="s">
        <v>1892</v>
      </c>
      <c r="W179" s="174" t="s">
        <v>1892</v>
      </c>
      <c r="X179" s="174" t="s">
        <v>1892</v>
      </c>
      <c r="Y179" s="174" t="s">
        <v>1892</v>
      </c>
      <c r="AA179" s="174" t="s">
        <v>1892</v>
      </c>
      <c r="AB179" s="174" t="s">
        <v>1892</v>
      </c>
      <c r="AC179" s="174" t="s">
        <v>1892</v>
      </c>
      <c r="AD179" s="174" t="s">
        <v>1892</v>
      </c>
      <c r="AF179" s="174" t="s">
        <v>1901</v>
      </c>
      <c r="AG179" s="174" t="s">
        <v>1892</v>
      </c>
      <c r="AH179" s="174" t="s">
        <v>1892</v>
      </c>
      <c r="AJ179" s="174" t="s">
        <v>1892</v>
      </c>
      <c r="AK179" s="174" t="s">
        <v>1892</v>
      </c>
      <c r="AL179" s="174" t="s">
        <v>1892</v>
      </c>
      <c r="AM179" s="174" t="s">
        <v>1901</v>
      </c>
      <c r="AO179" s="174" t="s">
        <v>1901</v>
      </c>
      <c r="AP179" s="174" t="s">
        <v>1901</v>
      </c>
      <c r="AQ179" s="174" t="s">
        <v>1901</v>
      </c>
      <c r="CS179" s="174" t="s">
        <v>1892</v>
      </c>
      <c r="CT179" s="174" t="s">
        <v>1892</v>
      </c>
      <c r="CU179" s="174" t="s">
        <v>1892</v>
      </c>
      <c r="CV179" s="174" t="s">
        <v>1892</v>
      </c>
      <c r="DF179" s="174">
        <v>4</v>
      </c>
      <c r="EV179" s="174" t="s">
        <v>1882</v>
      </c>
      <c r="EZ179" s="174" t="s">
        <v>1910</v>
      </c>
      <c r="FJ179" s="174" t="s">
        <v>1882</v>
      </c>
      <c r="FO179" s="174" t="s">
        <v>1832</v>
      </c>
      <c r="FS179" s="174" t="s">
        <v>1882</v>
      </c>
      <c r="FU179" s="174" t="s">
        <v>1832</v>
      </c>
      <c r="FX179" s="174" t="s">
        <v>1882</v>
      </c>
      <c r="FZ179" s="174" t="s">
        <v>1832</v>
      </c>
      <c r="HA179" s="174">
        <v>18</v>
      </c>
      <c r="HB179" s="197">
        <v>176</v>
      </c>
      <c r="HC179" s="194">
        <v>108</v>
      </c>
      <c r="HD179" s="238">
        <v>133</v>
      </c>
      <c r="HE179" s="236">
        <v>25</v>
      </c>
      <c r="HF179" s="183">
        <v>241</v>
      </c>
      <c r="HG179" s="193">
        <f t="shared" si="152"/>
        <v>236</v>
      </c>
      <c r="HH179" s="192" t="e">
        <f t="shared" si="182"/>
        <v>#REF!</v>
      </c>
      <c r="HI179" s="198">
        <v>25</v>
      </c>
      <c r="HJ179" s="185">
        <v>178</v>
      </c>
      <c r="HK179" s="174">
        <v>177</v>
      </c>
      <c r="HL179" s="174">
        <f t="shared" si="157"/>
        <v>778</v>
      </c>
      <c r="HM179" s="174">
        <f t="shared" si="158"/>
        <v>768</v>
      </c>
      <c r="HN179" s="174">
        <f t="shared" si="159"/>
        <v>601</v>
      </c>
      <c r="HO179" s="174">
        <f t="shared" si="160"/>
        <v>444</v>
      </c>
      <c r="HP179" s="174">
        <f t="shared" si="161"/>
        <v>297</v>
      </c>
      <c r="HQ179" s="174">
        <f t="shared" si="162"/>
        <v>287</v>
      </c>
      <c r="HR179" s="174">
        <f t="shared" si="163"/>
        <v>287</v>
      </c>
      <c r="HS179" s="174">
        <f t="shared" si="164"/>
        <v>277</v>
      </c>
      <c r="HT179" s="174">
        <f t="shared" si="165"/>
        <v>267</v>
      </c>
      <c r="HU179" s="174">
        <f t="shared" si="166"/>
        <v>591</v>
      </c>
      <c r="HV179" s="174">
        <f t="shared" si="167"/>
        <v>287</v>
      </c>
      <c r="HW179" s="174">
        <f t="shared" si="168"/>
        <v>277</v>
      </c>
      <c r="HX179" s="174">
        <f t="shared" si="169"/>
        <v>424</v>
      </c>
      <c r="HY179" s="174">
        <f t="shared" si="170"/>
        <v>267</v>
      </c>
      <c r="HZ179" s="174">
        <f t="shared" si="171"/>
        <v>257</v>
      </c>
      <c r="IA179" s="174">
        <f t="shared" si="172"/>
        <v>247</v>
      </c>
      <c r="IB179" s="174">
        <f t="shared" si="173"/>
        <v>414</v>
      </c>
      <c r="IC179" s="174">
        <f t="shared" si="174"/>
        <v>394</v>
      </c>
      <c r="ID179" s="174">
        <f t="shared" si="175"/>
        <v>237</v>
      </c>
      <c r="IE179" s="174">
        <f t="shared" si="176"/>
        <v>384</v>
      </c>
      <c r="IF179" s="174">
        <f t="shared" si="177"/>
        <v>237</v>
      </c>
      <c r="IG179" s="174">
        <f t="shared" si="178"/>
        <v>217</v>
      </c>
      <c r="IH179" s="174">
        <f t="shared" si="179"/>
        <v>207</v>
      </c>
      <c r="II179" s="174">
        <f t="shared" si="180"/>
        <v>187</v>
      </c>
      <c r="IJ179" s="174">
        <v>179</v>
      </c>
    </row>
    <row r="180" spans="1:244" ht="13.35" customHeight="1" x14ac:dyDescent="0.2">
      <c r="A180" s="174">
        <v>34</v>
      </c>
      <c r="B180" s="174">
        <f t="shared" si="183"/>
        <v>73</v>
      </c>
      <c r="D180" s="174" t="s">
        <v>1898</v>
      </c>
      <c r="E180" s="174" t="s">
        <v>1909</v>
      </c>
      <c r="F180" s="174" t="s">
        <v>1901</v>
      </c>
      <c r="G180" s="174" t="s">
        <v>1901</v>
      </c>
      <c r="H180" s="174" t="s">
        <v>1901</v>
      </c>
      <c r="I180" s="174" t="s">
        <v>1901</v>
      </c>
      <c r="J180" s="174" t="s">
        <v>1901</v>
      </c>
      <c r="K180" s="174" t="s">
        <v>1901</v>
      </c>
      <c r="L180" s="174" t="s">
        <v>1901</v>
      </c>
      <c r="M180" s="174" t="s">
        <v>1896</v>
      </c>
      <c r="N180" s="174" t="s">
        <v>1896</v>
      </c>
      <c r="O180" s="174" t="s">
        <v>1901</v>
      </c>
      <c r="P180" s="174" t="s">
        <v>1901</v>
      </c>
      <c r="Q180" s="174" t="s">
        <v>1896</v>
      </c>
      <c r="R180" s="174" t="s">
        <v>1901</v>
      </c>
      <c r="S180" s="174" t="s">
        <v>1896</v>
      </c>
      <c r="T180" s="174" t="s">
        <v>1896</v>
      </c>
      <c r="U180" s="174" t="s">
        <v>1896</v>
      </c>
      <c r="V180" s="174" t="s">
        <v>1901</v>
      </c>
      <c r="W180" s="174" t="s">
        <v>1901</v>
      </c>
      <c r="X180" s="174" t="s">
        <v>1901</v>
      </c>
      <c r="Y180" s="174" t="s">
        <v>1901</v>
      </c>
      <c r="AA180" s="174" t="s">
        <v>1901</v>
      </c>
      <c r="AB180" s="174" t="s">
        <v>1901</v>
      </c>
      <c r="AC180" s="174" t="s">
        <v>1901</v>
      </c>
      <c r="AD180" s="174" t="s">
        <v>1901</v>
      </c>
      <c r="AF180" s="174" t="s">
        <v>1896</v>
      </c>
      <c r="AG180" s="174" t="s">
        <v>1901</v>
      </c>
      <c r="AH180" s="174" t="s">
        <v>1901</v>
      </c>
      <c r="AJ180" s="174" t="s">
        <v>1901</v>
      </c>
      <c r="AK180" s="174" t="s">
        <v>1901</v>
      </c>
      <c r="AL180" s="174" t="s">
        <v>1901</v>
      </c>
      <c r="AM180" s="174" t="s">
        <v>1896</v>
      </c>
      <c r="AO180" s="174" t="s">
        <v>1896</v>
      </c>
      <c r="AP180" s="174" t="s">
        <v>1896</v>
      </c>
      <c r="AQ180" s="174" t="s">
        <v>1896</v>
      </c>
      <c r="CS180" s="174" t="s">
        <v>1901</v>
      </c>
      <c r="CT180" s="174" t="s">
        <v>1901</v>
      </c>
      <c r="CU180" s="174" t="s">
        <v>1901</v>
      </c>
      <c r="CV180" s="174" t="s">
        <v>1901</v>
      </c>
      <c r="DF180" s="174">
        <v>5</v>
      </c>
      <c r="EV180" s="174" t="s">
        <v>1877</v>
      </c>
      <c r="EZ180" s="174" t="s">
        <v>1912</v>
      </c>
      <c r="FJ180" s="174" t="s">
        <v>1877</v>
      </c>
      <c r="FO180" s="174" t="s">
        <v>1879</v>
      </c>
      <c r="FS180" s="174" t="s">
        <v>1877</v>
      </c>
      <c r="FU180" s="174" t="s">
        <v>1879</v>
      </c>
      <c r="FZ180" s="174" t="s">
        <v>1879</v>
      </c>
      <c r="HA180" s="174">
        <v>19</v>
      </c>
      <c r="HB180" s="197">
        <v>177</v>
      </c>
      <c r="HC180" s="194">
        <v>109</v>
      </c>
      <c r="HD180" s="238">
        <v>133.5</v>
      </c>
      <c r="HE180" s="236">
        <v>25</v>
      </c>
      <c r="HF180" s="183">
        <v>242</v>
      </c>
      <c r="HG180" s="193">
        <f t="shared" si="152"/>
        <v>237</v>
      </c>
      <c r="HH180" s="192" t="e">
        <f t="shared" si="182"/>
        <v>#REF!</v>
      </c>
      <c r="HI180" s="198">
        <v>25</v>
      </c>
      <c r="HJ180" s="185">
        <v>178.5</v>
      </c>
      <c r="HK180" s="174">
        <v>178</v>
      </c>
      <c r="HL180" s="174">
        <f t="shared" si="157"/>
        <v>782</v>
      </c>
      <c r="HM180" s="174">
        <f t="shared" si="158"/>
        <v>772</v>
      </c>
      <c r="HN180" s="174">
        <f t="shared" si="159"/>
        <v>604</v>
      </c>
      <c r="HO180" s="174">
        <f t="shared" si="160"/>
        <v>446</v>
      </c>
      <c r="HP180" s="174">
        <f t="shared" si="161"/>
        <v>298</v>
      </c>
      <c r="HQ180" s="174">
        <f t="shared" si="162"/>
        <v>288</v>
      </c>
      <c r="HR180" s="174">
        <f t="shared" si="163"/>
        <v>288</v>
      </c>
      <c r="HS180" s="174">
        <f t="shared" si="164"/>
        <v>278</v>
      </c>
      <c r="HT180" s="174">
        <f t="shared" si="165"/>
        <v>268</v>
      </c>
      <c r="HU180" s="174">
        <f t="shared" si="166"/>
        <v>594</v>
      </c>
      <c r="HV180" s="174">
        <f t="shared" si="167"/>
        <v>288</v>
      </c>
      <c r="HW180" s="174">
        <f t="shared" si="168"/>
        <v>278</v>
      </c>
      <c r="HX180" s="174">
        <f t="shared" si="169"/>
        <v>426</v>
      </c>
      <c r="HY180" s="174">
        <f t="shared" si="170"/>
        <v>268</v>
      </c>
      <c r="HZ180" s="174">
        <f t="shared" si="171"/>
        <v>258</v>
      </c>
      <c r="IA180" s="174">
        <f t="shared" si="172"/>
        <v>248</v>
      </c>
      <c r="IB180" s="174">
        <f t="shared" si="173"/>
        <v>416</v>
      </c>
      <c r="IC180" s="174">
        <f t="shared" si="174"/>
        <v>396</v>
      </c>
      <c r="ID180" s="174">
        <f t="shared" si="175"/>
        <v>238</v>
      </c>
      <c r="IE180" s="174">
        <f t="shared" si="176"/>
        <v>386</v>
      </c>
      <c r="IF180" s="174">
        <f t="shared" si="177"/>
        <v>238</v>
      </c>
      <c r="IG180" s="174">
        <f t="shared" si="178"/>
        <v>218</v>
      </c>
      <c r="IH180" s="174">
        <f t="shared" si="179"/>
        <v>208</v>
      </c>
      <c r="II180" s="174">
        <f t="shared" si="180"/>
        <v>188</v>
      </c>
      <c r="IJ180" s="174">
        <v>180</v>
      </c>
    </row>
    <row r="181" spans="1:244" ht="13.35" customHeight="1" x14ac:dyDescent="0.2">
      <c r="A181" s="174">
        <v>35</v>
      </c>
      <c r="B181" s="174">
        <f t="shared" ref="B181:B190" si="185">A181+33</f>
        <v>68</v>
      </c>
      <c r="D181" s="174" t="s">
        <v>1903</v>
      </c>
      <c r="E181" s="174" t="s">
        <v>1911</v>
      </c>
      <c r="F181" s="174" t="s">
        <v>1896</v>
      </c>
      <c r="G181" s="174" t="s">
        <v>1896</v>
      </c>
      <c r="H181" s="174" t="s">
        <v>1896</v>
      </c>
      <c r="I181" s="174" t="s">
        <v>1896</v>
      </c>
      <c r="J181" s="174" t="s">
        <v>1896</v>
      </c>
      <c r="K181" s="174" t="s">
        <v>1896</v>
      </c>
      <c r="L181" s="174" t="s">
        <v>1896</v>
      </c>
      <c r="M181" s="174" t="s">
        <v>1897</v>
      </c>
      <c r="N181" s="174" t="s">
        <v>1897</v>
      </c>
      <c r="O181" s="174" t="s">
        <v>1896</v>
      </c>
      <c r="P181" s="174" t="s">
        <v>1896</v>
      </c>
      <c r="Q181" s="174" t="s">
        <v>1897</v>
      </c>
      <c r="R181" s="174" t="s">
        <v>1896</v>
      </c>
      <c r="S181" s="174" t="s">
        <v>1897</v>
      </c>
      <c r="T181" s="174" t="s">
        <v>1897</v>
      </c>
      <c r="U181" s="174" t="s">
        <v>1897</v>
      </c>
      <c r="V181" s="174" t="s">
        <v>1896</v>
      </c>
      <c r="W181" s="174" t="s">
        <v>1896</v>
      </c>
      <c r="X181" s="174" t="s">
        <v>1896</v>
      </c>
      <c r="Y181" s="174" t="s">
        <v>1896</v>
      </c>
      <c r="AA181" s="174" t="s">
        <v>1896</v>
      </c>
      <c r="AB181" s="174" t="s">
        <v>1896</v>
      </c>
      <c r="AC181" s="174" t="s">
        <v>1896</v>
      </c>
      <c r="AD181" s="174" t="s">
        <v>1896</v>
      </c>
      <c r="AF181" s="174" t="s">
        <v>1897</v>
      </c>
      <c r="AG181" s="174" t="s">
        <v>1896</v>
      </c>
      <c r="AH181" s="174" t="s">
        <v>1896</v>
      </c>
      <c r="AJ181" s="174" t="s">
        <v>1896</v>
      </c>
      <c r="AK181" s="174" t="s">
        <v>1896</v>
      </c>
      <c r="AL181" s="174" t="s">
        <v>1896</v>
      </c>
      <c r="AM181" s="174" t="s">
        <v>1897</v>
      </c>
      <c r="AO181" s="174" t="s">
        <v>1897</v>
      </c>
      <c r="AP181" s="174" t="s">
        <v>1897</v>
      </c>
      <c r="AQ181" s="174" t="s">
        <v>1897</v>
      </c>
      <c r="CS181" s="174" t="s">
        <v>1896</v>
      </c>
      <c r="CT181" s="174" t="s">
        <v>1896</v>
      </c>
      <c r="CU181" s="174" t="s">
        <v>1896</v>
      </c>
      <c r="CV181" s="174" t="s">
        <v>1896</v>
      </c>
      <c r="DF181" s="174">
        <v>6</v>
      </c>
      <c r="EV181" s="174" t="s">
        <v>1859</v>
      </c>
      <c r="FJ181" s="174" t="s">
        <v>1859</v>
      </c>
      <c r="FO181" s="174" t="s">
        <v>1840</v>
      </c>
      <c r="FS181" s="174" t="s">
        <v>1859</v>
      </c>
      <c r="FU181" s="174" t="s">
        <v>1840</v>
      </c>
      <c r="FZ181" s="174" t="s">
        <v>1840</v>
      </c>
      <c r="HA181" s="174">
        <v>20</v>
      </c>
      <c r="HB181" s="197">
        <v>178</v>
      </c>
      <c r="HC181" s="194">
        <v>109</v>
      </c>
      <c r="HD181" s="238">
        <v>134</v>
      </c>
      <c r="HE181" s="236">
        <v>25</v>
      </c>
      <c r="HF181" s="183">
        <v>243</v>
      </c>
      <c r="HG181" s="193">
        <f t="shared" si="152"/>
        <v>238</v>
      </c>
      <c r="HH181" s="192" t="e">
        <f t="shared" si="182"/>
        <v>#REF!</v>
      </c>
      <c r="HI181" s="198">
        <v>25</v>
      </c>
      <c r="HJ181" s="185">
        <v>179</v>
      </c>
      <c r="HK181" s="174">
        <v>179</v>
      </c>
      <c r="HL181" s="174">
        <f t="shared" si="157"/>
        <v>786</v>
      </c>
      <c r="HM181" s="174">
        <f t="shared" si="158"/>
        <v>776</v>
      </c>
      <c r="HN181" s="174">
        <f t="shared" si="159"/>
        <v>607</v>
      </c>
      <c r="HO181" s="174">
        <f t="shared" si="160"/>
        <v>448</v>
      </c>
      <c r="HP181" s="174">
        <f t="shared" si="161"/>
        <v>299</v>
      </c>
      <c r="HQ181" s="174">
        <f t="shared" si="162"/>
        <v>289</v>
      </c>
      <c r="HR181" s="174">
        <f t="shared" si="163"/>
        <v>289</v>
      </c>
      <c r="HS181" s="174">
        <f t="shared" si="164"/>
        <v>279</v>
      </c>
      <c r="HT181" s="174">
        <f t="shared" si="165"/>
        <v>269</v>
      </c>
      <c r="HU181" s="174">
        <f t="shared" si="166"/>
        <v>597</v>
      </c>
      <c r="HV181" s="174">
        <f t="shared" si="167"/>
        <v>289</v>
      </c>
      <c r="HW181" s="174">
        <f t="shared" si="168"/>
        <v>279</v>
      </c>
      <c r="HX181" s="174">
        <f t="shared" si="169"/>
        <v>428</v>
      </c>
      <c r="HY181" s="174">
        <f t="shared" si="170"/>
        <v>269</v>
      </c>
      <c r="HZ181" s="174">
        <f t="shared" si="171"/>
        <v>259</v>
      </c>
      <c r="IA181" s="174">
        <f t="shared" si="172"/>
        <v>249</v>
      </c>
      <c r="IB181" s="174">
        <f t="shared" si="173"/>
        <v>418</v>
      </c>
      <c r="IC181" s="174">
        <f t="shared" si="174"/>
        <v>398</v>
      </c>
      <c r="ID181" s="174">
        <f t="shared" si="175"/>
        <v>239</v>
      </c>
      <c r="IE181" s="174">
        <f t="shared" si="176"/>
        <v>388</v>
      </c>
      <c r="IF181" s="174">
        <f t="shared" si="177"/>
        <v>239</v>
      </c>
      <c r="IG181" s="174">
        <f t="shared" si="178"/>
        <v>219</v>
      </c>
      <c r="IH181" s="174">
        <f t="shared" si="179"/>
        <v>209</v>
      </c>
      <c r="II181" s="174">
        <f t="shared" si="180"/>
        <v>189</v>
      </c>
      <c r="IJ181" s="174">
        <v>181</v>
      </c>
    </row>
    <row r="182" spans="1:244" ht="13.35" customHeight="1" x14ac:dyDescent="0.2">
      <c r="A182" s="174">
        <v>36</v>
      </c>
      <c r="B182" s="174">
        <f t="shared" si="185"/>
        <v>69</v>
      </c>
      <c r="D182" s="174" t="s">
        <v>1892</v>
      </c>
      <c r="E182" s="174" t="s">
        <v>1913</v>
      </c>
      <c r="F182" s="174" t="s">
        <v>1897</v>
      </c>
      <c r="G182" s="174" t="s">
        <v>1897</v>
      </c>
      <c r="H182" s="174" t="s">
        <v>1897</v>
      </c>
      <c r="I182" s="174" t="s">
        <v>1897</v>
      </c>
      <c r="J182" s="174" t="s">
        <v>1897</v>
      </c>
      <c r="K182" s="174" t="s">
        <v>1897</v>
      </c>
      <c r="L182" s="174" t="s">
        <v>1897</v>
      </c>
      <c r="M182" s="174" t="s">
        <v>1904</v>
      </c>
      <c r="N182" s="174" t="s">
        <v>1904</v>
      </c>
      <c r="O182" s="174" t="s">
        <v>1897</v>
      </c>
      <c r="P182" s="174" t="s">
        <v>1897</v>
      </c>
      <c r="Q182" s="174" t="s">
        <v>1904</v>
      </c>
      <c r="R182" s="174" t="s">
        <v>1897</v>
      </c>
      <c r="S182" s="174" t="s">
        <v>1904</v>
      </c>
      <c r="T182" s="174" t="s">
        <v>1904</v>
      </c>
      <c r="U182" s="174" t="s">
        <v>1904</v>
      </c>
      <c r="V182" s="174" t="s">
        <v>1897</v>
      </c>
      <c r="W182" s="174" t="s">
        <v>1897</v>
      </c>
      <c r="X182" s="174" t="s">
        <v>1897</v>
      </c>
      <c r="Y182" s="174" t="s">
        <v>1897</v>
      </c>
      <c r="AA182" s="174" t="s">
        <v>1897</v>
      </c>
      <c r="AB182" s="174" t="s">
        <v>1897</v>
      </c>
      <c r="AC182" s="174" t="s">
        <v>1897</v>
      </c>
      <c r="AD182" s="174" t="s">
        <v>1897</v>
      </c>
      <c r="AF182" s="174" t="s">
        <v>1904</v>
      </c>
      <c r="AG182" s="174" t="s">
        <v>1897</v>
      </c>
      <c r="AH182" s="174" t="s">
        <v>1897</v>
      </c>
      <c r="AJ182" s="174" t="s">
        <v>1897</v>
      </c>
      <c r="AK182" s="174" t="s">
        <v>1897</v>
      </c>
      <c r="AL182" s="174" t="s">
        <v>1897</v>
      </c>
      <c r="AM182" s="174" t="s">
        <v>1904</v>
      </c>
      <c r="AO182" s="174" t="s">
        <v>1904</v>
      </c>
      <c r="AP182" s="174" t="s">
        <v>1904</v>
      </c>
      <c r="AQ182" s="174" t="s">
        <v>1904</v>
      </c>
      <c r="CS182" s="174" t="s">
        <v>1897</v>
      </c>
      <c r="CT182" s="174" t="s">
        <v>1897</v>
      </c>
      <c r="CU182" s="174" t="s">
        <v>1897</v>
      </c>
      <c r="CV182" s="174" t="s">
        <v>1897</v>
      </c>
      <c r="DF182" s="174">
        <v>7</v>
      </c>
      <c r="EV182" s="174" t="s">
        <v>1884</v>
      </c>
      <c r="FJ182" s="174" t="s">
        <v>1884</v>
      </c>
      <c r="FO182" s="174" t="s">
        <v>743</v>
      </c>
      <c r="FS182" s="174" t="s">
        <v>1884</v>
      </c>
      <c r="FU182" s="174" t="s">
        <v>743</v>
      </c>
      <c r="FZ182" s="174" t="s">
        <v>743</v>
      </c>
      <c r="HA182" s="174">
        <v>21</v>
      </c>
      <c r="HB182" s="197">
        <v>179</v>
      </c>
      <c r="HC182" s="194">
        <v>110</v>
      </c>
      <c r="HD182" s="238">
        <v>134.5</v>
      </c>
      <c r="HE182" s="236">
        <v>25</v>
      </c>
      <c r="HF182" s="183">
        <v>244</v>
      </c>
      <c r="HG182" s="193">
        <f t="shared" si="152"/>
        <v>239</v>
      </c>
      <c r="HH182" s="192" t="e">
        <f t="shared" si="182"/>
        <v>#REF!</v>
      </c>
      <c r="HI182" s="198">
        <v>25</v>
      </c>
      <c r="HJ182" s="185">
        <v>179.5</v>
      </c>
      <c r="HK182" s="174">
        <v>180</v>
      </c>
      <c r="HL182" s="174">
        <f t="shared" si="157"/>
        <v>790</v>
      </c>
      <c r="HM182" s="174">
        <f t="shared" si="158"/>
        <v>780</v>
      </c>
      <c r="HN182" s="174">
        <f t="shared" si="159"/>
        <v>610</v>
      </c>
      <c r="HO182" s="174">
        <f t="shared" si="160"/>
        <v>450</v>
      </c>
      <c r="HP182" s="174">
        <f t="shared" si="161"/>
        <v>300</v>
      </c>
      <c r="HQ182" s="174">
        <f t="shared" si="162"/>
        <v>290</v>
      </c>
      <c r="HR182" s="174">
        <f t="shared" si="163"/>
        <v>290</v>
      </c>
      <c r="HS182" s="174">
        <f t="shared" si="164"/>
        <v>280</v>
      </c>
      <c r="HT182" s="174">
        <f t="shared" si="165"/>
        <v>270</v>
      </c>
      <c r="HU182" s="174">
        <f t="shared" si="166"/>
        <v>600</v>
      </c>
      <c r="HV182" s="174">
        <f t="shared" si="167"/>
        <v>290</v>
      </c>
      <c r="HW182" s="174">
        <f t="shared" si="168"/>
        <v>280</v>
      </c>
      <c r="HX182" s="174">
        <f t="shared" si="169"/>
        <v>430</v>
      </c>
      <c r="HY182" s="174">
        <f t="shared" si="170"/>
        <v>270</v>
      </c>
      <c r="HZ182" s="174">
        <f t="shared" si="171"/>
        <v>260</v>
      </c>
      <c r="IA182" s="174">
        <f t="shared" si="172"/>
        <v>250</v>
      </c>
      <c r="IB182" s="174">
        <f t="shared" si="173"/>
        <v>420</v>
      </c>
      <c r="IC182" s="174">
        <f t="shared" si="174"/>
        <v>400</v>
      </c>
      <c r="ID182" s="174">
        <f t="shared" si="175"/>
        <v>240</v>
      </c>
      <c r="IE182" s="174">
        <f t="shared" si="176"/>
        <v>390</v>
      </c>
      <c r="IF182" s="174">
        <f t="shared" si="177"/>
        <v>240</v>
      </c>
      <c r="IG182" s="174">
        <f t="shared" si="178"/>
        <v>220</v>
      </c>
      <c r="IH182" s="174">
        <f t="shared" si="179"/>
        <v>210</v>
      </c>
      <c r="II182" s="174">
        <f t="shared" si="180"/>
        <v>190</v>
      </c>
      <c r="IJ182" s="174">
        <v>182</v>
      </c>
    </row>
    <row r="183" spans="1:244" ht="13.35" customHeight="1" x14ac:dyDescent="0.2">
      <c r="A183" s="174">
        <v>37</v>
      </c>
      <c r="B183" s="174">
        <f t="shared" si="185"/>
        <v>70</v>
      </c>
      <c r="D183" s="174" t="s">
        <v>1894</v>
      </c>
      <c r="E183" s="174" t="s">
        <v>1915</v>
      </c>
      <c r="F183" s="174" t="s">
        <v>1904</v>
      </c>
      <c r="G183" s="174" t="s">
        <v>1904</v>
      </c>
      <c r="H183" s="174" t="s">
        <v>1904</v>
      </c>
      <c r="I183" s="174" t="s">
        <v>1904</v>
      </c>
      <c r="J183" s="174" t="s">
        <v>1904</v>
      </c>
      <c r="K183" s="174" t="s">
        <v>1904</v>
      </c>
      <c r="L183" s="174" t="s">
        <v>1904</v>
      </c>
      <c r="M183" s="174" t="s">
        <v>1895</v>
      </c>
      <c r="N183" s="174" t="s">
        <v>1895</v>
      </c>
      <c r="O183" s="174" t="s">
        <v>1904</v>
      </c>
      <c r="P183" s="174" t="s">
        <v>1904</v>
      </c>
      <c r="Q183" s="174" t="s">
        <v>1895</v>
      </c>
      <c r="R183" s="174" t="s">
        <v>1904</v>
      </c>
      <c r="S183" s="174" t="s">
        <v>1895</v>
      </c>
      <c r="T183" s="174" t="s">
        <v>1895</v>
      </c>
      <c r="U183" s="174" t="s">
        <v>1895</v>
      </c>
      <c r="V183" s="174" t="s">
        <v>1904</v>
      </c>
      <c r="W183" s="174" t="s">
        <v>1904</v>
      </c>
      <c r="X183" s="174" t="s">
        <v>1904</v>
      </c>
      <c r="Y183" s="174" t="s">
        <v>1904</v>
      </c>
      <c r="AA183" s="174" t="s">
        <v>1904</v>
      </c>
      <c r="AB183" s="174" t="s">
        <v>1904</v>
      </c>
      <c r="AC183" s="174" t="s">
        <v>1904</v>
      </c>
      <c r="AD183" s="174" t="s">
        <v>1904</v>
      </c>
      <c r="AF183" s="174" t="s">
        <v>1895</v>
      </c>
      <c r="AG183" s="174" t="s">
        <v>1904</v>
      </c>
      <c r="AH183" s="174" t="s">
        <v>1904</v>
      </c>
      <c r="AJ183" s="174" t="s">
        <v>1904</v>
      </c>
      <c r="AK183" s="174" t="s">
        <v>1904</v>
      </c>
      <c r="AL183" s="174" t="s">
        <v>1904</v>
      </c>
      <c r="AM183" s="174" t="s">
        <v>1895</v>
      </c>
      <c r="AO183" s="174" t="s">
        <v>1895</v>
      </c>
      <c r="AP183" s="174" t="s">
        <v>1895</v>
      </c>
      <c r="AQ183" s="174" t="s">
        <v>1895</v>
      </c>
      <c r="CS183" s="174" t="s">
        <v>1904</v>
      </c>
      <c r="CT183" s="174" t="s">
        <v>1904</v>
      </c>
      <c r="CU183" s="174" t="s">
        <v>1904</v>
      </c>
      <c r="CV183" s="174" t="s">
        <v>1904</v>
      </c>
      <c r="DF183" s="174">
        <v>8</v>
      </c>
      <c r="FO183" s="174" t="s">
        <v>1869</v>
      </c>
      <c r="FU183" s="174" t="s">
        <v>1869</v>
      </c>
      <c r="FZ183" s="174" t="s">
        <v>1869</v>
      </c>
      <c r="HA183" s="174">
        <v>22</v>
      </c>
      <c r="HB183" s="197">
        <v>180</v>
      </c>
      <c r="HC183" s="194">
        <v>110</v>
      </c>
      <c r="HD183" s="238">
        <v>135</v>
      </c>
      <c r="HE183" s="236">
        <v>25</v>
      </c>
      <c r="HF183" s="183">
        <v>245</v>
      </c>
      <c r="HG183" s="193">
        <f t="shared" si="152"/>
        <v>240</v>
      </c>
      <c r="HH183" s="192" t="e">
        <f t="shared" si="182"/>
        <v>#REF!</v>
      </c>
      <c r="HI183" s="198">
        <v>25</v>
      </c>
      <c r="HJ183" s="185">
        <v>180</v>
      </c>
      <c r="HK183" s="174">
        <v>181</v>
      </c>
      <c r="HL183" s="174">
        <f t="shared" si="157"/>
        <v>794</v>
      </c>
      <c r="HM183" s="174">
        <f t="shared" si="158"/>
        <v>784</v>
      </c>
      <c r="HN183" s="174">
        <f t="shared" si="159"/>
        <v>613</v>
      </c>
      <c r="HO183" s="174">
        <f t="shared" si="160"/>
        <v>452</v>
      </c>
      <c r="HP183" s="174">
        <f t="shared" si="161"/>
        <v>301</v>
      </c>
      <c r="HQ183" s="174">
        <f t="shared" si="162"/>
        <v>291</v>
      </c>
      <c r="HR183" s="174">
        <f t="shared" si="163"/>
        <v>291</v>
      </c>
      <c r="HS183" s="174">
        <f t="shared" si="164"/>
        <v>281</v>
      </c>
      <c r="HT183" s="174">
        <f t="shared" si="165"/>
        <v>271</v>
      </c>
      <c r="HU183" s="174">
        <f t="shared" si="166"/>
        <v>603</v>
      </c>
      <c r="HV183" s="174">
        <f t="shared" si="167"/>
        <v>291</v>
      </c>
      <c r="HW183" s="174">
        <f t="shared" si="168"/>
        <v>281</v>
      </c>
      <c r="HX183" s="174">
        <f t="shared" si="169"/>
        <v>432</v>
      </c>
      <c r="HY183" s="174">
        <f t="shared" si="170"/>
        <v>271</v>
      </c>
      <c r="HZ183" s="174">
        <f t="shared" si="171"/>
        <v>261</v>
      </c>
      <c r="IA183" s="174">
        <f t="shared" si="172"/>
        <v>251</v>
      </c>
      <c r="IB183" s="174">
        <f t="shared" si="173"/>
        <v>422</v>
      </c>
      <c r="IC183" s="174">
        <f t="shared" si="174"/>
        <v>402</v>
      </c>
      <c r="ID183" s="174">
        <f t="shared" si="175"/>
        <v>241</v>
      </c>
      <c r="IE183" s="174">
        <f t="shared" si="176"/>
        <v>392</v>
      </c>
      <c r="IF183" s="174">
        <f t="shared" si="177"/>
        <v>241</v>
      </c>
      <c r="IG183" s="174">
        <f t="shared" si="178"/>
        <v>221</v>
      </c>
      <c r="IH183" s="174">
        <f t="shared" si="179"/>
        <v>211</v>
      </c>
      <c r="II183" s="174">
        <f t="shared" si="180"/>
        <v>191</v>
      </c>
      <c r="IJ183" s="174">
        <v>183</v>
      </c>
    </row>
    <row r="184" spans="1:244" ht="13.35" customHeight="1" x14ac:dyDescent="0.2">
      <c r="A184" s="174">
        <v>38</v>
      </c>
      <c r="B184" s="174">
        <f t="shared" si="185"/>
        <v>71</v>
      </c>
      <c r="D184" s="174" t="s">
        <v>1905</v>
      </c>
      <c r="E184" s="174" t="s">
        <v>1916</v>
      </c>
      <c r="F184" s="174" t="s">
        <v>1895</v>
      </c>
      <c r="G184" s="174" t="s">
        <v>1895</v>
      </c>
      <c r="H184" s="174" t="s">
        <v>1895</v>
      </c>
      <c r="I184" s="174" t="s">
        <v>1895</v>
      </c>
      <c r="J184" s="174" t="s">
        <v>1895</v>
      </c>
      <c r="K184" s="174" t="s">
        <v>1895</v>
      </c>
      <c r="L184" s="174" t="s">
        <v>1895</v>
      </c>
      <c r="M184" s="174" t="s">
        <v>1899</v>
      </c>
      <c r="N184" s="174" t="s">
        <v>1899</v>
      </c>
      <c r="O184" s="174" t="s">
        <v>1895</v>
      </c>
      <c r="P184" s="174" t="s">
        <v>1895</v>
      </c>
      <c r="Q184" s="174" t="s">
        <v>1899</v>
      </c>
      <c r="R184" s="174" t="s">
        <v>1895</v>
      </c>
      <c r="S184" s="174" t="s">
        <v>1899</v>
      </c>
      <c r="T184" s="174" t="s">
        <v>1899</v>
      </c>
      <c r="U184" s="174" t="s">
        <v>1899</v>
      </c>
      <c r="V184" s="174" t="s">
        <v>1895</v>
      </c>
      <c r="W184" s="174" t="s">
        <v>1895</v>
      </c>
      <c r="X184" s="174" t="s">
        <v>1895</v>
      </c>
      <c r="Y184" s="174" t="s">
        <v>1895</v>
      </c>
      <c r="AA184" s="174" t="s">
        <v>1895</v>
      </c>
      <c r="AB184" s="174" t="s">
        <v>1895</v>
      </c>
      <c r="AC184" s="174" t="s">
        <v>1895</v>
      </c>
      <c r="AD184" s="174" t="s">
        <v>1895</v>
      </c>
      <c r="AF184" s="174" t="s">
        <v>1899</v>
      </c>
      <c r="AG184" s="174" t="s">
        <v>1895</v>
      </c>
      <c r="AH184" s="174" t="s">
        <v>1895</v>
      </c>
      <c r="AJ184" s="174" t="s">
        <v>1895</v>
      </c>
      <c r="AK184" s="174" t="s">
        <v>1895</v>
      </c>
      <c r="AL184" s="174" t="s">
        <v>1895</v>
      </c>
      <c r="AM184" s="174" t="s">
        <v>1899</v>
      </c>
      <c r="AO184" s="174" t="s">
        <v>1899</v>
      </c>
      <c r="AP184" s="174" t="s">
        <v>1899</v>
      </c>
      <c r="AQ184" s="174" t="s">
        <v>1899</v>
      </c>
      <c r="CS184" s="174" t="s">
        <v>1895</v>
      </c>
      <c r="CT184" s="174" t="s">
        <v>1895</v>
      </c>
      <c r="CU184" s="174" t="s">
        <v>1895</v>
      </c>
      <c r="CV184" s="174" t="s">
        <v>1895</v>
      </c>
      <c r="DF184" s="174">
        <v>9</v>
      </c>
      <c r="HB184" s="197">
        <v>181</v>
      </c>
      <c r="HC184" s="194">
        <v>111</v>
      </c>
      <c r="HD184" s="238">
        <v>135.5</v>
      </c>
      <c r="HE184" s="236">
        <v>25</v>
      </c>
      <c r="HF184" s="183">
        <v>246</v>
      </c>
      <c r="HG184" s="193">
        <f t="shared" si="152"/>
        <v>241</v>
      </c>
      <c r="HH184" s="192" t="e">
        <f t="shared" si="182"/>
        <v>#REF!</v>
      </c>
      <c r="HI184" s="198">
        <v>25</v>
      </c>
      <c r="HJ184" s="185">
        <v>180.5</v>
      </c>
      <c r="HK184" s="174">
        <v>182</v>
      </c>
      <c r="HL184" s="174">
        <f t="shared" si="157"/>
        <v>798</v>
      </c>
      <c r="HM184" s="174">
        <f t="shared" si="158"/>
        <v>788</v>
      </c>
      <c r="HN184" s="174">
        <f t="shared" si="159"/>
        <v>616</v>
      </c>
      <c r="HO184" s="174">
        <f t="shared" si="160"/>
        <v>454</v>
      </c>
      <c r="HP184" s="174">
        <f t="shared" si="161"/>
        <v>302</v>
      </c>
      <c r="HQ184" s="174">
        <f t="shared" si="162"/>
        <v>292</v>
      </c>
      <c r="HR184" s="174">
        <f t="shared" si="163"/>
        <v>292</v>
      </c>
      <c r="HS184" s="174">
        <f t="shared" si="164"/>
        <v>282</v>
      </c>
      <c r="HT184" s="174">
        <f t="shared" si="165"/>
        <v>272</v>
      </c>
      <c r="HU184" s="174">
        <f t="shared" si="166"/>
        <v>606</v>
      </c>
      <c r="HV184" s="174">
        <f t="shared" si="167"/>
        <v>292</v>
      </c>
      <c r="HW184" s="174">
        <f t="shared" si="168"/>
        <v>282</v>
      </c>
      <c r="HX184" s="174">
        <f t="shared" si="169"/>
        <v>434</v>
      </c>
      <c r="HY184" s="174">
        <f t="shared" si="170"/>
        <v>272</v>
      </c>
      <c r="HZ184" s="174">
        <f t="shared" si="171"/>
        <v>262</v>
      </c>
      <c r="IA184" s="174">
        <f t="shared" si="172"/>
        <v>252</v>
      </c>
      <c r="IB184" s="174">
        <f t="shared" si="173"/>
        <v>424</v>
      </c>
      <c r="IC184" s="174">
        <f t="shared" si="174"/>
        <v>404</v>
      </c>
      <c r="ID184" s="174">
        <f t="shared" si="175"/>
        <v>242</v>
      </c>
      <c r="IE184" s="174">
        <f t="shared" si="176"/>
        <v>394</v>
      </c>
      <c r="IF184" s="174">
        <f t="shared" si="177"/>
        <v>242</v>
      </c>
      <c r="IG184" s="174">
        <f t="shared" si="178"/>
        <v>222</v>
      </c>
      <c r="IH184" s="174">
        <f t="shared" si="179"/>
        <v>212</v>
      </c>
      <c r="II184" s="174">
        <f t="shared" si="180"/>
        <v>192</v>
      </c>
      <c r="IJ184" s="174">
        <v>184</v>
      </c>
    </row>
    <row r="185" spans="1:244" ht="13.35" customHeight="1" x14ac:dyDescent="0.2">
      <c r="A185" s="174">
        <v>39</v>
      </c>
      <c r="B185" s="174">
        <f t="shared" si="185"/>
        <v>72</v>
      </c>
      <c r="D185" s="174" t="s">
        <v>1888</v>
      </c>
      <c r="E185" s="174" t="s">
        <v>357</v>
      </c>
      <c r="F185" s="174" t="s">
        <v>1899</v>
      </c>
      <c r="G185" s="174" t="s">
        <v>1899</v>
      </c>
      <c r="H185" s="174" t="s">
        <v>1899</v>
      </c>
      <c r="I185" s="174" t="s">
        <v>1899</v>
      </c>
      <c r="J185" s="174" t="s">
        <v>1899</v>
      </c>
      <c r="K185" s="174" t="s">
        <v>1899</v>
      </c>
      <c r="L185" s="174" t="s">
        <v>1899</v>
      </c>
      <c r="M185" s="174" t="s">
        <v>1893</v>
      </c>
      <c r="N185" s="174" t="s">
        <v>1893</v>
      </c>
      <c r="O185" s="174" t="s">
        <v>1899</v>
      </c>
      <c r="P185" s="174" t="s">
        <v>1899</v>
      </c>
      <c r="Q185" s="174" t="s">
        <v>1893</v>
      </c>
      <c r="R185" s="174" t="s">
        <v>1899</v>
      </c>
      <c r="S185" s="174" t="s">
        <v>1893</v>
      </c>
      <c r="T185" s="174" t="s">
        <v>1893</v>
      </c>
      <c r="U185" s="174" t="s">
        <v>1893</v>
      </c>
      <c r="V185" s="174" t="s">
        <v>1899</v>
      </c>
      <c r="W185" s="174" t="s">
        <v>1899</v>
      </c>
      <c r="X185" s="174" t="s">
        <v>1899</v>
      </c>
      <c r="Y185" s="174" t="s">
        <v>1899</v>
      </c>
      <c r="AA185" s="174" t="s">
        <v>1899</v>
      </c>
      <c r="AB185" s="174" t="s">
        <v>1899</v>
      </c>
      <c r="AC185" s="174" t="s">
        <v>1899</v>
      </c>
      <c r="AD185" s="174" t="s">
        <v>1899</v>
      </c>
      <c r="AF185" s="174" t="s">
        <v>1893</v>
      </c>
      <c r="AG185" s="174" t="s">
        <v>1899</v>
      </c>
      <c r="AH185" s="174" t="s">
        <v>1899</v>
      </c>
      <c r="AJ185" s="174" t="s">
        <v>1899</v>
      </c>
      <c r="AK185" s="174" t="s">
        <v>1899</v>
      </c>
      <c r="AL185" s="174" t="s">
        <v>1899</v>
      </c>
      <c r="AM185" s="174" t="s">
        <v>1893</v>
      </c>
      <c r="AO185" s="174" t="s">
        <v>1893</v>
      </c>
      <c r="AP185" s="174" t="s">
        <v>1893</v>
      </c>
      <c r="AQ185" s="174" t="s">
        <v>1893</v>
      </c>
      <c r="CS185" s="174" t="s">
        <v>1899</v>
      </c>
      <c r="CT185" s="174" t="s">
        <v>1899</v>
      </c>
      <c r="CU185" s="174" t="s">
        <v>1899</v>
      </c>
      <c r="CV185" s="174" t="s">
        <v>1899</v>
      </c>
      <c r="DF185" s="174">
        <v>10</v>
      </c>
      <c r="HB185" s="197">
        <v>182</v>
      </c>
      <c r="HC185" s="194">
        <v>111</v>
      </c>
      <c r="HD185" s="238">
        <v>136</v>
      </c>
      <c r="HE185" s="236">
        <v>25</v>
      </c>
      <c r="HF185" s="183">
        <v>247</v>
      </c>
      <c r="HG185" s="193">
        <f t="shared" si="152"/>
        <v>242</v>
      </c>
      <c r="HH185" s="192" t="e">
        <f t="shared" si="182"/>
        <v>#REF!</v>
      </c>
      <c r="HI185" s="198">
        <v>25</v>
      </c>
      <c r="HJ185" s="185">
        <v>181</v>
      </c>
      <c r="HK185" s="174">
        <v>183</v>
      </c>
      <c r="HL185" s="174">
        <f t="shared" si="157"/>
        <v>802</v>
      </c>
      <c r="HM185" s="174">
        <f t="shared" si="158"/>
        <v>792</v>
      </c>
      <c r="HN185" s="174">
        <f t="shared" si="159"/>
        <v>619</v>
      </c>
      <c r="HO185" s="174">
        <f t="shared" si="160"/>
        <v>456</v>
      </c>
      <c r="HP185" s="174">
        <f t="shared" si="161"/>
        <v>303</v>
      </c>
      <c r="HQ185" s="174">
        <f t="shared" si="162"/>
        <v>293</v>
      </c>
      <c r="HR185" s="174">
        <f t="shared" si="163"/>
        <v>293</v>
      </c>
      <c r="HS185" s="174">
        <f t="shared" si="164"/>
        <v>283</v>
      </c>
      <c r="HT185" s="174">
        <f t="shared" si="165"/>
        <v>273</v>
      </c>
      <c r="HU185" s="174">
        <f t="shared" si="166"/>
        <v>609</v>
      </c>
      <c r="HV185" s="174">
        <f t="shared" si="167"/>
        <v>293</v>
      </c>
      <c r="HW185" s="174">
        <f t="shared" si="168"/>
        <v>283</v>
      </c>
      <c r="HX185" s="174">
        <f t="shared" si="169"/>
        <v>436</v>
      </c>
      <c r="HY185" s="174">
        <f t="shared" si="170"/>
        <v>273</v>
      </c>
      <c r="HZ185" s="174">
        <f t="shared" si="171"/>
        <v>263</v>
      </c>
      <c r="IA185" s="174">
        <f t="shared" si="172"/>
        <v>253</v>
      </c>
      <c r="IB185" s="174">
        <f t="shared" si="173"/>
        <v>426</v>
      </c>
      <c r="IC185" s="174">
        <f t="shared" si="174"/>
        <v>406</v>
      </c>
      <c r="ID185" s="174">
        <f t="shared" si="175"/>
        <v>243</v>
      </c>
      <c r="IE185" s="174">
        <f t="shared" si="176"/>
        <v>396</v>
      </c>
      <c r="IF185" s="174">
        <f t="shared" si="177"/>
        <v>243</v>
      </c>
      <c r="IG185" s="174">
        <f t="shared" si="178"/>
        <v>223</v>
      </c>
      <c r="IH185" s="174">
        <f t="shared" si="179"/>
        <v>213</v>
      </c>
      <c r="II185" s="174">
        <f t="shared" si="180"/>
        <v>193</v>
      </c>
      <c r="IJ185" s="174">
        <v>185</v>
      </c>
    </row>
    <row r="186" spans="1:244" ht="13.35" customHeight="1" x14ac:dyDescent="0.2">
      <c r="A186" s="174">
        <v>40</v>
      </c>
      <c r="B186" s="174">
        <f t="shared" si="185"/>
        <v>73</v>
      </c>
      <c r="D186" s="174" t="s">
        <v>1890</v>
      </c>
      <c r="E186" s="174" t="s">
        <v>1917</v>
      </c>
      <c r="F186" s="174" t="s">
        <v>1893</v>
      </c>
      <c r="G186" s="174" t="s">
        <v>1893</v>
      </c>
      <c r="H186" s="174" t="s">
        <v>1893</v>
      </c>
      <c r="I186" s="174" t="s">
        <v>1893</v>
      </c>
      <c r="J186" s="174" t="s">
        <v>1893</v>
      </c>
      <c r="K186" s="174" t="s">
        <v>1893</v>
      </c>
      <c r="L186" s="174" t="s">
        <v>1893</v>
      </c>
      <c r="M186" s="174" t="s">
        <v>1894</v>
      </c>
      <c r="N186" s="174" t="s">
        <v>1894</v>
      </c>
      <c r="O186" s="174" t="s">
        <v>1893</v>
      </c>
      <c r="P186" s="174" t="s">
        <v>1893</v>
      </c>
      <c r="Q186" s="174" t="s">
        <v>1894</v>
      </c>
      <c r="R186" s="174" t="s">
        <v>1893</v>
      </c>
      <c r="S186" s="174" t="s">
        <v>1894</v>
      </c>
      <c r="T186" s="174" t="s">
        <v>1894</v>
      </c>
      <c r="U186" s="174" t="s">
        <v>1894</v>
      </c>
      <c r="V186" s="174" t="s">
        <v>1893</v>
      </c>
      <c r="W186" s="174" t="s">
        <v>1893</v>
      </c>
      <c r="X186" s="174" t="s">
        <v>1893</v>
      </c>
      <c r="Y186" s="174" t="s">
        <v>1893</v>
      </c>
      <c r="AA186" s="174" t="s">
        <v>1893</v>
      </c>
      <c r="AB186" s="174" t="s">
        <v>1893</v>
      </c>
      <c r="AC186" s="174" t="s">
        <v>1893</v>
      </c>
      <c r="AD186" s="174" t="s">
        <v>1893</v>
      </c>
      <c r="AF186" s="174" t="s">
        <v>1894</v>
      </c>
      <c r="AG186" s="174" t="s">
        <v>1893</v>
      </c>
      <c r="AH186" s="174" t="s">
        <v>1893</v>
      </c>
      <c r="AJ186" s="174" t="s">
        <v>1893</v>
      </c>
      <c r="AK186" s="174" t="s">
        <v>1893</v>
      </c>
      <c r="AL186" s="174" t="s">
        <v>1893</v>
      </c>
      <c r="AM186" s="174" t="s">
        <v>1894</v>
      </c>
      <c r="AO186" s="174" t="s">
        <v>1894</v>
      </c>
      <c r="AP186" s="174" t="s">
        <v>1894</v>
      </c>
      <c r="AQ186" s="174" t="s">
        <v>1894</v>
      </c>
      <c r="CS186" s="174" t="s">
        <v>1893</v>
      </c>
      <c r="CT186" s="174" t="s">
        <v>1893</v>
      </c>
      <c r="CU186" s="174" t="s">
        <v>1893</v>
      </c>
      <c r="CV186" s="174" t="s">
        <v>1893</v>
      </c>
      <c r="DF186" s="174">
        <v>11</v>
      </c>
      <c r="HB186" s="197">
        <v>183</v>
      </c>
      <c r="HC186" s="194">
        <v>112</v>
      </c>
      <c r="HD186" s="238">
        <v>136.5</v>
      </c>
      <c r="HE186" s="236">
        <v>25</v>
      </c>
      <c r="HF186" s="183">
        <v>248</v>
      </c>
      <c r="HG186" s="193">
        <f t="shared" si="152"/>
        <v>243</v>
      </c>
      <c r="HH186" s="192" t="e">
        <f t="shared" si="182"/>
        <v>#REF!</v>
      </c>
      <c r="HI186" s="198">
        <v>25</v>
      </c>
      <c r="HJ186" s="185">
        <v>181.5</v>
      </c>
      <c r="HK186" s="174">
        <v>184</v>
      </c>
      <c r="HL186" s="174">
        <f t="shared" si="157"/>
        <v>806</v>
      </c>
      <c r="HM186" s="174">
        <f t="shared" si="158"/>
        <v>796</v>
      </c>
      <c r="HN186" s="174">
        <f t="shared" si="159"/>
        <v>622</v>
      </c>
      <c r="HO186" s="174">
        <f t="shared" si="160"/>
        <v>458</v>
      </c>
      <c r="HP186" s="174">
        <f t="shared" si="161"/>
        <v>304</v>
      </c>
      <c r="HQ186" s="174">
        <f t="shared" si="162"/>
        <v>294</v>
      </c>
      <c r="HR186" s="174">
        <f t="shared" si="163"/>
        <v>294</v>
      </c>
      <c r="HS186" s="174">
        <f t="shared" si="164"/>
        <v>284</v>
      </c>
      <c r="HT186" s="174">
        <f t="shared" si="165"/>
        <v>274</v>
      </c>
      <c r="HU186" s="174">
        <f t="shared" si="166"/>
        <v>612</v>
      </c>
      <c r="HV186" s="174">
        <f t="shared" si="167"/>
        <v>294</v>
      </c>
      <c r="HW186" s="174">
        <f t="shared" si="168"/>
        <v>284</v>
      </c>
      <c r="HX186" s="174">
        <f t="shared" si="169"/>
        <v>438</v>
      </c>
      <c r="HY186" s="174">
        <f t="shared" si="170"/>
        <v>274</v>
      </c>
      <c r="HZ186" s="174">
        <f t="shared" si="171"/>
        <v>264</v>
      </c>
      <c r="IA186" s="174">
        <f t="shared" si="172"/>
        <v>254</v>
      </c>
      <c r="IB186" s="174">
        <f t="shared" si="173"/>
        <v>428</v>
      </c>
      <c r="IC186" s="174">
        <f t="shared" si="174"/>
        <v>408</v>
      </c>
      <c r="ID186" s="174">
        <f t="shared" si="175"/>
        <v>244</v>
      </c>
      <c r="IE186" s="174">
        <f t="shared" si="176"/>
        <v>398</v>
      </c>
      <c r="IF186" s="174">
        <f t="shared" si="177"/>
        <v>244</v>
      </c>
      <c r="IG186" s="174">
        <f t="shared" si="178"/>
        <v>224</v>
      </c>
      <c r="IH186" s="174">
        <f t="shared" si="179"/>
        <v>214</v>
      </c>
      <c r="II186" s="174">
        <f t="shared" si="180"/>
        <v>194</v>
      </c>
      <c r="IJ186" s="174">
        <v>186</v>
      </c>
    </row>
    <row r="187" spans="1:244" ht="13.35" customHeight="1" x14ac:dyDescent="0.2">
      <c r="A187" s="174">
        <v>41</v>
      </c>
      <c r="B187" s="174">
        <f t="shared" si="185"/>
        <v>74</v>
      </c>
      <c r="D187" s="174" t="s">
        <v>1891</v>
      </c>
      <c r="E187" s="174" t="s">
        <v>1918</v>
      </c>
      <c r="F187" s="174" t="s">
        <v>1894</v>
      </c>
      <c r="G187" s="174" t="s">
        <v>1894</v>
      </c>
      <c r="H187" s="174" t="s">
        <v>1894</v>
      </c>
      <c r="I187" s="174" t="s">
        <v>1894</v>
      </c>
      <c r="J187" s="174" t="s">
        <v>1894</v>
      </c>
      <c r="K187" s="174" t="s">
        <v>1894</v>
      </c>
      <c r="L187" s="174" t="s">
        <v>1894</v>
      </c>
      <c r="M187" s="174" t="s">
        <v>172</v>
      </c>
      <c r="N187" s="174" t="s">
        <v>172</v>
      </c>
      <c r="O187" s="174" t="s">
        <v>1894</v>
      </c>
      <c r="P187" s="174" t="s">
        <v>1894</v>
      </c>
      <c r="Q187" s="174" t="s">
        <v>172</v>
      </c>
      <c r="R187" s="174" t="s">
        <v>1894</v>
      </c>
      <c r="S187" s="174" t="s">
        <v>172</v>
      </c>
      <c r="T187" s="174" t="s">
        <v>172</v>
      </c>
      <c r="U187" s="174" t="s">
        <v>172</v>
      </c>
      <c r="V187" s="174" t="s">
        <v>1894</v>
      </c>
      <c r="W187" s="174" t="s">
        <v>1894</v>
      </c>
      <c r="X187" s="174" t="s">
        <v>1894</v>
      </c>
      <c r="Y187" s="174" t="s">
        <v>1894</v>
      </c>
      <c r="AA187" s="174" t="s">
        <v>1894</v>
      </c>
      <c r="AB187" s="174" t="s">
        <v>1894</v>
      </c>
      <c r="AC187" s="174" t="s">
        <v>1894</v>
      </c>
      <c r="AD187" s="174" t="s">
        <v>1894</v>
      </c>
      <c r="AF187" s="174" t="s">
        <v>172</v>
      </c>
      <c r="AG187" s="174" t="s">
        <v>1894</v>
      </c>
      <c r="AH187" s="174" t="s">
        <v>1894</v>
      </c>
      <c r="AJ187" s="174" t="s">
        <v>1894</v>
      </c>
      <c r="AK187" s="174" t="s">
        <v>1894</v>
      </c>
      <c r="AL187" s="174" t="s">
        <v>1894</v>
      </c>
      <c r="AM187" s="174" t="s">
        <v>172</v>
      </c>
      <c r="AO187" s="174" t="s">
        <v>172</v>
      </c>
      <c r="AP187" s="174" t="s">
        <v>172</v>
      </c>
      <c r="AQ187" s="174" t="s">
        <v>172</v>
      </c>
      <c r="CS187" s="174" t="s">
        <v>1894</v>
      </c>
      <c r="CT187" s="174" t="s">
        <v>1894</v>
      </c>
      <c r="CU187" s="174" t="s">
        <v>1894</v>
      </c>
      <c r="CV187" s="174" t="s">
        <v>1894</v>
      </c>
      <c r="DF187" s="174">
        <v>12</v>
      </c>
      <c r="HB187" s="197">
        <v>184</v>
      </c>
      <c r="HC187" s="194">
        <v>112</v>
      </c>
      <c r="HD187" s="238">
        <v>137</v>
      </c>
      <c r="HE187" s="236">
        <v>25</v>
      </c>
      <c r="HF187" s="183">
        <v>249</v>
      </c>
      <c r="HG187" s="193">
        <f t="shared" si="152"/>
        <v>244</v>
      </c>
      <c r="HH187" s="192" t="e">
        <f t="shared" si="182"/>
        <v>#REF!</v>
      </c>
      <c r="HI187" s="198">
        <v>25</v>
      </c>
      <c r="HJ187" s="185">
        <v>182</v>
      </c>
      <c r="HK187" s="174">
        <v>185</v>
      </c>
      <c r="HL187" s="174">
        <f t="shared" si="157"/>
        <v>810</v>
      </c>
      <c r="HM187" s="174">
        <f t="shared" si="158"/>
        <v>800</v>
      </c>
      <c r="HN187" s="174">
        <f t="shared" si="159"/>
        <v>625</v>
      </c>
      <c r="HO187" s="174">
        <f t="shared" si="160"/>
        <v>460</v>
      </c>
      <c r="HP187" s="174">
        <f t="shared" si="161"/>
        <v>305</v>
      </c>
      <c r="HQ187" s="174">
        <f t="shared" si="162"/>
        <v>295</v>
      </c>
      <c r="HR187" s="174">
        <f t="shared" si="163"/>
        <v>295</v>
      </c>
      <c r="HS187" s="174">
        <f t="shared" si="164"/>
        <v>285</v>
      </c>
      <c r="HT187" s="174">
        <f t="shared" si="165"/>
        <v>275</v>
      </c>
      <c r="HU187" s="174">
        <f t="shared" si="166"/>
        <v>615</v>
      </c>
      <c r="HV187" s="174">
        <f t="shared" si="167"/>
        <v>295</v>
      </c>
      <c r="HW187" s="174">
        <f t="shared" si="168"/>
        <v>285</v>
      </c>
      <c r="HX187" s="174">
        <f t="shared" si="169"/>
        <v>440</v>
      </c>
      <c r="HY187" s="174">
        <f t="shared" si="170"/>
        <v>275</v>
      </c>
      <c r="HZ187" s="174">
        <f t="shared" si="171"/>
        <v>265</v>
      </c>
      <c r="IA187" s="174">
        <f t="shared" si="172"/>
        <v>255</v>
      </c>
      <c r="IB187" s="174">
        <f t="shared" si="173"/>
        <v>430</v>
      </c>
      <c r="IC187" s="174">
        <f t="shared" si="174"/>
        <v>410</v>
      </c>
      <c r="ID187" s="174">
        <f t="shared" si="175"/>
        <v>245</v>
      </c>
      <c r="IE187" s="174">
        <f t="shared" si="176"/>
        <v>400</v>
      </c>
      <c r="IF187" s="174">
        <f t="shared" si="177"/>
        <v>245</v>
      </c>
      <c r="IG187" s="174">
        <f t="shared" si="178"/>
        <v>225</v>
      </c>
      <c r="IH187" s="174">
        <f t="shared" si="179"/>
        <v>215</v>
      </c>
      <c r="II187" s="174">
        <f t="shared" si="180"/>
        <v>195</v>
      </c>
      <c r="IJ187" s="174">
        <v>187</v>
      </c>
    </row>
    <row r="188" spans="1:244" ht="13.35" customHeight="1" x14ac:dyDescent="0.2">
      <c r="A188" s="174">
        <v>42</v>
      </c>
      <c r="B188" s="174">
        <f t="shared" si="185"/>
        <v>75</v>
      </c>
      <c r="D188" s="174" t="s">
        <v>172</v>
      </c>
      <c r="E188" s="174" t="s">
        <v>1919</v>
      </c>
      <c r="F188" s="174" t="s">
        <v>172</v>
      </c>
      <c r="G188" s="174" t="s">
        <v>172</v>
      </c>
      <c r="H188" s="174" t="s">
        <v>172</v>
      </c>
      <c r="I188" s="174" t="s">
        <v>172</v>
      </c>
      <c r="J188" s="174" t="s">
        <v>172</v>
      </c>
      <c r="K188" s="174" t="s">
        <v>172</v>
      </c>
      <c r="L188" s="174" t="s">
        <v>172</v>
      </c>
      <c r="M188" s="174" t="s">
        <v>1905</v>
      </c>
      <c r="N188" s="174" t="s">
        <v>1905</v>
      </c>
      <c r="O188" s="174" t="s">
        <v>172</v>
      </c>
      <c r="P188" s="174" t="s">
        <v>172</v>
      </c>
      <c r="Q188" s="174" t="s">
        <v>1905</v>
      </c>
      <c r="R188" s="174" t="s">
        <v>172</v>
      </c>
      <c r="S188" s="174" t="s">
        <v>1905</v>
      </c>
      <c r="T188" s="174" t="s">
        <v>1905</v>
      </c>
      <c r="U188" s="174" t="s">
        <v>1905</v>
      </c>
      <c r="V188" s="174" t="s">
        <v>172</v>
      </c>
      <c r="W188" s="174" t="s">
        <v>172</v>
      </c>
      <c r="X188" s="174" t="s">
        <v>172</v>
      </c>
      <c r="Y188" s="174" t="s">
        <v>172</v>
      </c>
      <c r="AA188" s="174" t="s">
        <v>172</v>
      </c>
      <c r="AB188" s="174" t="s">
        <v>172</v>
      </c>
      <c r="AC188" s="174" t="s">
        <v>172</v>
      </c>
      <c r="AD188" s="174" t="s">
        <v>172</v>
      </c>
      <c r="AF188" s="174" t="s">
        <v>1905</v>
      </c>
      <c r="AG188" s="174" t="s">
        <v>172</v>
      </c>
      <c r="AH188" s="174" t="s">
        <v>172</v>
      </c>
      <c r="AJ188" s="174" t="s">
        <v>172</v>
      </c>
      <c r="AK188" s="174" t="s">
        <v>172</v>
      </c>
      <c r="AL188" s="174" t="s">
        <v>172</v>
      </c>
      <c r="AM188" s="174" t="s">
        <v>1905</v>
      </c>
      <c r="AO188" s="174" t="s">
        <v>1905</v>
      </c>
      <c r="AP188" s="174" t="s">
        <v>1905</v>
      </c>
      <c r="AQ188" s="174" t="s">
        <v>1905</v>
      </c>
      <c r="CS188" s="174" t="s">
        <v>172</v>
      </c>
      <c r="CT188" s="174" t="s">
        <v>172</v>
      </c>
      <c r="CU188" s="174" t="s">
        <v>172</v>
      </c>
      <c r="CV188" s="174" t="s">
        <v>172</v>
      </c>
      <c r="DF188" s="174">
        <v>13</v>
      </c>
      <c r="HB188" s="197">
        <v>185</v>
      </c>
      <c r="HC188" s="194">
        <v>113</v>
      </c>
      <c r="HD188" s="238">
        <v>137.5</v>
      </c>
      <c r="HE188" s="236">
        <v>25</v>
      </c>
      <c r="HF188" s="183">
        <v>250</v>
      </c>
      <c r="HG188" s="193">
        <f t="shared" si="152"/>
        <v>245</v>
      </c>
      <c r="HH188" s="192" t="e">
        <f t="shared" si="182"/>
        <v>#REF!</v>
      </c>
      <c r="HI188" s="198">
        <v>25</v>
      </c>
      <c r="HJ188" s="185">
        <v>182.5</v>
      </c>
      <c r="HK188" s="174">
        <v>186</v>
      </c>
      <c r="HL188" s="174">
        <f t="shared" si="157"/>
        <v>814</v>
      </c>
      <c r="HM188" s="174">
        <f t="shared" si="158"/>
        <v>804</v>
      </c>
      <c r="HN188" s="174">
        <f t="shared" si="159"/>
        <v>628</v>
      </c>
      <c r="HO188" s="174">
        <f t="shared" si="160"/>
        <v>462</v>
      </c>
      <c r="HP188" s="174">
        <f t="shared" si="161"/>
        <v>306</v>
      </c>
      <c r="HQ188" s="174">
        <f t="shared" si="162"/>
        <v>296</v>
      </c>
      <c r="HR188" s="174">
        <f t="shared" si="163"/>
        <v>296</v>
      </c>
      <c r="HS188" s="174">
        <f t="shared" si="164"/>
        <v>286</v>
      </c>
      <c r="HT188" s="174">
        <f t="shared" si="165"/>
        <v>276</v>
      </c>
      <c r="HU188" s="174">
        <f t="shared" si="166"/>
        <v>618</v>
      </c>
      <c r="HV188" s="174">
        <f t="shared" si="167"/>
        <v>296</v>
      </c>
      <c r="HW188" s="174">
        <f t="shared" si="168"/>
        <v>286</v>
      </c>
      <c r="HX188" s="174">
        <f t="shared" si="169"/>
        <v>442</v>
      </c>
      <c r="HY188" s="174">
        <f t="shared" si="170"/>
        <v>276</v>
      </c>
      <c r="HZ188" s="174">
        <f t="shared" si="171"/>
        <v>266</v>
      </c>
      <c r="IA188" s="174">
        <f t="shared" si="172"/>
        <v>256</v>
      </c>
      <c r="IB188" s="174">
        <f t="shared" si="173"/>
        <v>432</v>
      </c>
      <c r="IC188" s="174">
        <f t="shared" si="174"/>
        <v>412</v>
      </c>
      <c r="ID188" s="174">
        <f t="shared" si="175"/>
        <v>246</v>
      </c>
      <c r="IE188" s="174">
        <f t="shared" si="176"/>
        <v>402</v>
      </c>
      <c r="IF188" s="174">
        <f t="shared" si="177"/>
        <v>246</v>
      </c>
      <c r="IG188" s="174">
        <f t="shared" si="178"/>
        <v>226</v>
      </c>
      <c r="IH188" s="174">
        <f t="shared" si="179"/>
        <v>216</v>
      </c>
      <c r="II188" s="174">
        <f t="shared" si="180"/>
        <v>196</v>
      </c>
      <c r="IJ188" s="174">
        <v>188</v>
      </c>
    </row>
    <row r="189" spans="1:244" ht="13.35" customHeight="1" x14ac:dyDescent="0.2">
      <c r="A189" s="174">
        <v>43</v>
      </c>
      <c r="B189" s="174">
        <f t="shared" si="185"/>
        <v>76</v>
      </c>
      <c r="D189" s="174" t="s">
        <v>1895</v>
      </c>
      <c r="E189" s="174" t="s">
        <v>1920</v>
      </c>
      <c r="F189" s="174" t="s">
        <v>1905</v>
      </c>
      <c r="G189" s="174" t="s">
        <v>1905</v>
      </c>
      <c r="H189" s="174" t="s">
        <v>1905</v>
      </c>
      <c r="I189" s="174" t="s">
        <v>1905</v>
      </c>
      <c r="J189" s="174" t="s">
        <v>1905</v>
      </c>
      <c r="K189" s="174" t="s">
        <v>1905</v>
      </c>
      <c r="L189" s="174" t="s">
        <v>1905</v>
      </c>
      <c r="M189" s="174" t="s">
        <v>1888</v>
      </c>
      <c r="N189" s="174" t="s">
        <v>1888</v>
      </c>
      <c r="O189" s="174" t="s">
        <v>1905</v>
      </c>
      <c r="P189" s="174" t="s">
        <v>1905</v>
      </c>
      <c r="Q189" s="174" t="s">
        <v>1888</v>
      </c>
      <c r="R189" s="174" t="s">
        <v>1905</v>
      </c>
      <c r="S189" s="174" t="s">
        <v>1888</v>
      </c>
      <c r="T189" s="174" t="s">
        <v>1888</v>
      </c>
      <c r="U189" s="174" t="s">
        <v>1888</v>
      </c>
      <c r="V189" s="174" t="s">
        <v>1905</v>
      </c>
      <c r="W189" s="174" t="s">
        <v>1905</v>
      </c>
      <c r="X189" s="174" t="s">
        <v>1905</v>
      </c>
      <c r="Y189" s="174" t="s">
        <v>1905</v>
      </c>
      <c r="AA189" s="174" t="s">
        <v>1905</v>
      </c>
      <c r="AB189" s="174" t="s">
        <v>1905</v>
      </c>
      <c r="AC189" s="174" t="s">
        <v>1905</v>
      </c>
      <c r="AD189" s="174" t="s">
        <v>1905</v>
      </c>
      <c r="AF189" s="174" t="s">
        <v>1888</v>
      </c>
      <c r="AG189" s="174" t="s">
        <v>1905</v>
      </c>
      <c r="AH189" s="174" t="s">
        <v>1905</v>
      </c>
      <c r="AJ189" s="174" t="s">
        <v>1905</v>
      </c>
      <c r="AK189" s="174" t="s">
        <v>1905</v>
      </c>
      <c r="AL189" s="174" t="s">
        <v>1905</v>
      </c>
      <c r="AM189" s="174" t="s">
        <v>1888</v>
      </c>
      <c r="AO189" s="174" t="s">
        <v>1888</v>
      </c>
      <c r="AP189" s="174" t="s">
        <v>1888</v>
      </c>
      <c r="AQ189" s="174" t="s">
        <v>1888</v>
      </c>
      <c r="CS189" s="174" t="s">
        <v>1905</v>
      </c>
      <c r="CT189" s="174" t="s">
        <v>1905</v>
      </c>
      <c r="CU189" s="174" t="s">
        <v>1905</v>
      </c>
      <c r="CV189" s="174" t="s">
        <v>1905</v>
      </c>
      <c r="DF189" s="174">
        <v>14</v>
      </c>
      <c r="HB189" s="197">
        <v>186</v>
      </c>
      <c r="HC189" s="194">
        <v>113</v>
      </c>
      <c r="HD189" s="238">
        <v>138</v>
      </c>
      <c r="HE189" s="236">
        <v>25</v>
      </c>
      <c r="HF189" s="183">
        <v>251</v>
      </c>
      <c r="HG189" s="193">
        <f t="shared" si="152"/>
        <v>246</v>
      </c>
      <c r="HH189" s="192" t="e">
        <f t="shared" si="182"/>
        <v>#REF!</v>
      </c>
      <c r="HI189" s="198">
        <v>25</v>
      </c>
      <c r="HJ189" s="185">
        <v>183</v>
      </c>
      <c r="HK189" s="174">
        <v>187</v>
      </c>
      <c r="HL189" s="174">
        <f t="shared" si="157"/>
        <v>818</v>
      </c>
      <c r="HM189" s="174">
        <f t="shared" si="158"/>
        <v>808</v>
      </c>
      <c r="HN189" s="174">
        <f t="shared" si="159"/>
        <v>631</v>
      </c>
      <c r="HO189" s="174">
        <f t="shared" si="160"/>
        <v>464</v>
      </c>
      <c r="HP189" s="174">
        <f t="shared" si="161"/>
        <v>307</v>
      </c>
      <c r="HQ189" s="174">
        <f t="shared" si="162"/>
        <v>297</v>
      </c>
      <c r="HR189" s="174">
        <f t="shared" si="163"/>
        <v>297</v>
      </c>
      <c r="HS189" s="174">
        <f t="shared" si="164"/>
        <v>287</v>
      </c>
      <c r="HT189" s="174">
        <f t="shared" si="165"/>
        <v>277</v>
      </c>
      <c r="HU189" s="174">
        <f t="shared" si="166"/>
        <v>621</v>
      </c>
      <c r="HV189" s="174">
        <f t="shared" si="167"/>
        <v>297</v>
      </c>
      <c r="HW189" s="174">
        <f t="shared" si="168"/>
        <v>287</v>
      </c>
      <c r="HX189" s="174">
        <f t="shared" si="169"/>
        <v>444</v>
      </c>
      <c r="HY189" s="174">
        <f t="shared" si="170"/>
        <v>277</v>
      </c>
      <c r="HZ189" s="174">
        <f t="shared" si="171"/>
        <v>267</v>
      </c>
      <c r="IA189" s="174">
        <f t="shared" si="172"/>
        <v>257</v>
      </c>
      <c r="IB189" s="174">
        <f t="shared" si="173"/>
        <v>434</v>
      </c>
      <c r="IC189" s="174">
        <f t="shared" si="174"/>
        <v>414</v>
      </c>
      <c r="ID189" s="174">
        <f t="shared" si="175"/>
        <v>247</v>
      </c>
      <c r="IE189" s="174">
        <f t="shared" si="176"/>
        <v>404</v>
      </c>
      <c r="IF189" s="174">
        <f t="shared" si="177"/>
        <v>247</v>
      </c>
      <c r="IG189" s="174">
        <f t="shared" si="178"/>
        <v>227</v>
      </c>
      <c r="IH189" s="174">
        <f t="shared" si="179"/>
        <v>217</v>
      </c>
      <c r="II189" s="174">
        <f t="shared" si="180"/>
        <v>197</v>
      </c>
      <c r="IJ189" s="174">
        <v>189</v>
      </c>
    </row>
    <row r="190" spans="1:244" ht="13.35" customHeight="1" x14ac:dyDescent="0.2">
      <c r="A190" s="174">
        <v>44</v>
      </c>
      <c r="B190" s="174">
        <f t="shared" si="185"/>
        <v>77</v>
      </c>
      <c r="D190" s="174" t="s">
        <v>1897</v>
      </c>
      <c r="E190" s="174" t="s">
        <v>1921</v>
      </c>
      <c r="F190" s="174" t="s">
        <v>1888</v>
      </c>
      <c r="G190" s="174" t="s">
        <v>1888</v>
      </c>
      <c r="H190" s="174" t="s">
        <v>1888</v>
      </c>
      <c r="I190" s="174" t="s">
        <v>1888</v>
      </c>
      <c r="J190" s="174" t="s">
        <v>1888</v>
      </c>
      <c r="K190" s="174" t="s">
        <v>1888</v>
      </c>
      <c r="L190" s="174" t="s">
        <v>1888</v>
      </c>
      <c r="M190" s="174" t="s">
        <v>1889</v>
      </c>
      <c r="N190" s="174" t="s">
        <v>1889</v>
      </c>
      <c r="O190" s="174" t="s">
        <v>1888</v>
      </c>
      <c r="P190" s="174" t="s">
        <v>1888</v>
      </c>
      <c r="Q190" s="174" t="s">
        <v>1889</v>
      </c>
      <c r="R190" s="174" t="s">
        <v>1888</v>
      </c>
      <c r="S190" s="174" t="s">
        <v>1889</v>
      </c>
      <c r="T190" s="174" t="s">
        <v>1889</v>
      </c>
      <c r="U190" s="174" t="s">
        <v>1889</v>
      </c>
      <c r="V190" s="174" t="s">
        <v>1888</v>
      </c>
      <c r="W190" s="174" t="s">
        <v>1888</v>
      </c>
      <c r="X190" s="174" t="s">
        <v>1888</v>
      </c>
      <c r="Y190" s="174" t="s">
        <v>1888</v>
      </c>
      <c r="AA190" s="174" t="s">
        <v>1888</v>
      </c>
      <c r="AB190" s="174" t="s">
        <v>1888</v>
      </c>
      <c r="AC190" s="174" t="s">
        <v>1888</v>
      </c>
      <c r="AD190" s="174" t="s">
        <v>1888</v>
      </c>
      <c r="AF190" s="174" t="s">
        <v>1889</v>
      </c>
      <c r="AG190" s="174" t="s">
        <v>1888</v>
      </c>
      <c r="AH190" s="174" t="s">
        <v>1888</v>
      </c>
      <c r="AJ190" s="174" t="s">
        <v>1888</v>
      </c>
      <c r="AK190" s="174" t="s">
        <v>1888</v>
      </c>
      <c r="AL190" s="174" t="s">
        <v>1888</v>
      </c>
      <c r="AM190" s="174" t="s">
        <v>1889</v>
      </c>
      <c r="AO190" s="174" t="s">
        <v>1889</v>
      </c>
      <c r="AP190" s="174" t="s">
        <v>1889</v>
      </c>
      <c r="AQ190" s="174" t="s">
        <v>1889</v>
      </c>
      <c r="CS190" s="174" t="s">
        <v>1888</v>
      </c>
      <c r="CT190" s="174" t="s">
        <v>1888</v>
      </c>
      <c r="CU190" s="174" t="s">
        <v>1888</v>
      </c>
      <c r="CV190" s="174" t="s">
        <v>1888</v>
      </c>
      <c r="DF190" s="174">
        <v>15</v>
      </c>
      <c r="HB190" s="197">
        <v>187</v>
      </c>
      <c r="HC190" s="194">
        <v>114</v>
      </c>
      <c r="HD190" s="238">
        <v>138.5</v>
      </c>
      <c r="HE190" s="236">
        <v>25</v>
      </c>
      <c r="HF190" s="183">
        <v>252</v>
      </c>
      <c r="HG190" s="193">
        <f t="shared" si="152"/>
        <v>247</v>
      </c>
      <c r="HH190" s="192" t="e">
        <f t="shared" si="182"/>
        <v>#REF!</v>
      </c>
      <c r="HI190" s="198">
        <v>25</v>
      </c>
      <c r="HJ190" s="185">
        <v>183.5</v>
      </c>
      <c r="HK190" s="174">
        <v>188</v>
      </c>
      <c r="HL190" s="174">
        <f t="shared" si="157"/>
        <v>822</v>
      </c>
      <c r="HM190" s="174">
        <f t="shared" si="158"/>
        <v>812</v>
      </c>
      <c r="HN190" s="174">
        <f t="shared" si="159"/>
        <v>634</v>
      </c>
      <c r="HO190" s="174">
        <f t="shared" si="160"/>
        <v>466</v>
      </c>
      <c r="HP190" s="174">
        <f t="shared" si="161"/>
        <v>308</v>
      </c>
      <c r="HQ190" s="174">
        <f t="shared" si="162"/>
        <v>298</v>
      </c>
      <c r="HR190" s="174">
        <f t="shared" si="163"/>
        <v>298</v>
      </c>
      <c r="HS190" s="174">
        <f t="shared" si="164"/>
        <v>288</v>
      </c>
      <c r="HT190" s="174">
        <f t="shared" si="165"/>
        <v>278</v>
      </c>
      <c r="HU190" s="174">
        <f t="shared" si="166"/>
        <v>624</v>
      </c>
      <c r="HV190" s="174">
        <f t="shared" si="167"/>
        <v>298</v>
      </c>
      <c r="HW190" s="174">
        <f t="shared" si="168"/>
        <v>288</v>
      </c>
      <c r="HX190" s="174">
        <f t="shared" si="169"/>
        <v>446</v>
      </c>
      <c r="HY190" s="174">
        <f t="shared" si="170"/>
        <v>278</v>
      </c>
      <c r="HZ190" s="174">
        <f t="shared" si="171"/>
        <v>268</v>
      </c>
      <c r="IA190" s="174">
        <f t="shared" si="172"/>
        <v>258</v>
      </c>
      <c r="IB190" s="174">
        <f t="shared" si="173"/>
        <v>436</v>
      </c>
      <c r="IC190" s="174">
        <f t="shared" si="174"/>
        <v>416</v>
      </c>
      <c r="ID190" s="174">
        <f t="shared" si="175"/>
        <v>248</v>
      </c>
      <c r="IE190" s="174">
        <f t="shared" si="176"/>
        <v>406</v>
      </c>
      <c r="IF190" s="174">
        <f t="shared" si="177"/>
        <v>248</v>
      </c>
      <c r="IG190" s="174">
        <f t="shared" si="178"/>
        <v>228</v>
      </c>
      <c r="IH190" s="174">
        <f t="shared" si="179"/>
        <v>218</v>
      </c>
      <c r="II190" s="174">
        <f t="shared" si="180"/>
        <v>198</v>
      </c>
      <c r="IJ190" s="174">
        <v>190</v>
      </c>
    </row>
    <row r="191" spans="1:244" ht="13.35" customHeight="1" x14ac:dyDescent="0.2">
      <c r="A191" s="174">
        <v>45</v>
      </c>
      <c r="B191" s="174">
        <f t="shared" ref="B191:B200" si="186">A191+28</f>
        <v>73</v>
      </c>
      <c r="D191" s="174" t="s">
        <v>1887</v>
      </c>
      <c r="E191" s="174" t="s">
        <v>1922</v>
      </c>
      <c r="F191" s="174" t="s">
        <v>1889</v>
      </c>
      <c r="G191" s="174" t="s">
        <v>1889</v>
      </c>
      <c r="H191" s="174" t="s">
        <v>1889</v>
      </c>
      <c r="I191" s="174" t="s">
        <v>1889</v>
      </c>
      <c r="J191" s="174" t="s">
        <v>1889</v>
      </c>
      <c r="K191" s="174" t="s">
        <v>1889</v>
      </c>
      <c r="L191" s="174" t="s">
        <v>1889</v>
      </c>
      <c r="M191" s="174" t="s">
        <v>1900</v>
      </c>
      <c r="N191" s="174" t="s">
        <v>1900</v>
      </c>
      <c r="O191" s="174" t="s">
        <v>1889</v>
      </c>
      <c r="P191" s="174" t="s">
        <v>1889</v>
      </c>
      <c r="Q191" s="174" t="s">
        <v>1900</v>
      </c>
      <c r="R191" s="174" t="s">
        <v>1889</v>
      </c>
      <c r="S191" s="174" t="s">
        <v>1900</v>
      </c>
      <c r="T191" s="174" t="s">
        <v>1900</v>
      </c>
      <c r="U191" s="174" t="s">
        <v>1900</v>
      </c>
      <c r="V191" s="174" t="s">
        <v>1889</v>
      </c>
      <c r="W191" s="174" t="s">
        <v>1889</v>
      </c>
      <c r="X191" s="174" t="s">
        <v>1889</v>
      </c>
      <c r="Y191" s="174" t="s">
        <v>1889</v>
      </c>
      <c r="AA191" s="174" t="s">
        <v>1889</v>
      </c>
      <c r="AB191" s="174" t="s">
        <v>1889</v>
      </c>
      <c r="AC191" s="174" t="s">
        <v>1889</v>
      </c>
      <c r="AD191" s="174" t="s">
        <v>1889</v>
      </c>
      <c r="AF191" s="174" t="s">
        <v>1900</v>
      </c>
      <c r="AG191" s="174" t="s">
        <v>1889</v>
      </c>
      <c r="AH191" s="174" t="s">
        <v>1889</v>
      </c>
      <c r="AJ191" s="174" t="s">
        <v>1889</v>
      </c>
      <c r="AK191" s="174" t="s">
        <v>1889</v>
      </c>
      <c r="AL191" s="174" t="s">
        <v>1889</v>
      </c>
      <c r="AM191" s="174" t="s">
        <v>1900</v>
      </c>
      <c r="AO191" s="174" t="s">
        <v>1900</v>
      </c>
      <c r="AP191" s="174" t="s">
        <v>1900</v>
      </c>
      <c r="AQ191" s="174" t="s">
        <v>1900</v>
      </c>
      <c r="CS191" s="174" t="s">
        <v>1889</v>
      </c>
      <c r="CT191" s="174" t="s">
        <v>1889</v>
      </c>
      <c r="CU191" s="174" t="s">
        <v>1889</v>
      </c>
      <c r="CV191" s="174" t="s">
        <v>1889</v>
      </c>
      <c r="DF191" s="174">
        <v>16</v>
      </c>
      <c r="EO191" s="202" t="s">
        <v>1115</v>
      </c>
      <c r="EP191" s="202" t="s">
        <v>1115</v>
      </c>
      <c r="EQ191" s="202" t="s">
        <v>1115</v>
      </c>
      <c r="ER191" s="202" t="s">
        <v>1115</v>
      </c>
      <c r="ES191" s="202" t="s">
        <v>1115</v>
      </c>
      <c r="ET191" s="202" t="s">
        <v>1115</v>
      </c>
      <c r="EU191" s="202" t="s">
        <v>1115</v>
      </c>
      <c r="EV191" s="202" t="s">
        <v>1115</v>
      </c>
      <c r="EW191" s="202" t="s">
        <v>1115</v>
      </c>
      <c r="EX191" s="202" t="s">
        <v>1115</v>
      </c>
      <c r="EY191" s="202" t="s">
        <v>1115</v>
      </c>
      <c r="EZ191" s="202" t="s">
        <v>1115</v>
      </c>
      <c r="FA191" s="202" t="s">
        <v>1115</v>
      </c>
      <c r="FB191" s="202" t="s">
        <v>1115</v>
      </c>
      <c r="FC191" s="202" t="s">
        <v>1115</v>
      </c>
      <c r="FD191" s="202" t="s">
        <v>1115</v>
      </c>
      <c r="FE191" s="202" t="s">
        <v>1115</v>
      </c>
      <c r="FF191" s="202" t="s">
        <v>1115</v>
      </c>
      <c r="FG191" s="202" t="s">
        <v>1115</v>
      </c>
      <c r="FH191" s="202" t="s">
        <v>1115</v>
      </c>
      <c r="FI191" s="202" t="s">
        <v>1115</v>
      </c>
      <c r="FJ191" s="202" t="s">
        <v>1115</v>
      </c>
      <c r="FK191" s="202" t="s">
        <v>1115</v>
      </c>
      <c r="FL191" s="202" t="s">
        <v>1115</v>
      </c>
      <c r="FM191" s="202" t="s">
        <v>1115</v>
      </c>
      <c r="FN191" s="202" t="s">
        <v>1115</v>
      </c>
      <c r="FO191" s="202" t="s">
        <v>1115</v>
      </c>
      <c r="FP191" s="202" t="s">
        <v>1115</v>
      </c>
      <c r="FQ191" s="202" t="s">
        <v>1115</v>
      </c>
      <c r="FR191" s="202" t="s">
        <v>1115</v>
      </c>
      <c r="FS191" s="202" t="s">
        <v>1115</v>
      </c>
      <c r="FT191" s="202" t="s">
        <v>1115</v>
      </c>
      <c r="FU191" s="202" t="s">
        <v>1115</v>
      </c>
      <c r="FV191" s="202" t="s">
        <v>1115</v>
      </c>
      <c r="FW191" s="202" t="s">
        <v>1115</v>
      </c>
      <c r="FX191" s="202" t="s">
        <v>1115</v>
      </c>
      <c r="FY191" s="202" t="s">
        <v>1115</v>
      </c>
      <c r="FZ191" s="202" t="s">
        <v>1115</v>
      </c>
      <c r="GA191" s="202"/>
      <c r="GB191" s="202"/>
      <c r="GC191" s="202"/>
      <c r="GD191" s="202"/>
      <c r="GE191" s="202"/>
      <c r="GF191" s="202"/>
      <c r="GG191" s="202"/>
      <c r="GH191" s="202"/>
      <c r="GI191" s="202"/>
      <c r="GJ191" s="202"/>
      <c r="GK191" s="202"/>
      <c r="GL191" s="202"/>
      <c r="GM191" s="202"/>
      <c r="GN191" s="202"/>
      <c r="GO191" s="202"/>
      <c r="GP191" s="202"/>
      <c r="GQ191" s="202"/>
      <c r="GR191" s="202"/>
      <c r="GS191" s="202"/>
      <c r="GT191" s="202"/>
      <c r="GU191" s="202"/>
      <c r="GV191" s="202"/>
      <c r="GW191" s="202"/>
      <c r="GX191" s="202"/>
      <c r="GY191" s="202"/>
      <c r="GZ191" s="202"/>
      <c r="HB191" s="197">
        <v>188</v>
      </c>
      <c r="HC191" s="194">
        <v>114</v>
      </c>
      <c r="HD191" s="238">
        <v>139</v>
      </c>
      <c r="HE191" s="236">
        <v>25</v>
      </c>
      <c r="HF191" s="183">
        <v>253</v>
      </c>
      <c r="HG191" s="193">
        <f t="shared" si="152"/>
        <v>248</v>
      </c>
      <c r="HH191" s="192" t="e">
        <f t="shared" si="182"/>
        <v>#REF!</v>
      </c>
      <c r="HI191" s="198">
        <v>25</v>
      </c>
      <c r="HJ191" s="185">
        <v>184</v>
      </c>
      <c r="HK191" s="174">
        <v>189</v>
      </c>
      <c r="HL191" s="174">
        <f t="shared" si="157"/>
        <v>826</v>
      </c>
      <c r="HM191" s="174">
        <f t="shared" si="158"/>
        <v>816</v>
      </c>
      <c r="HN191" s="174">
        <f t="shared" si="159"/>
        <v>637</v>
      </c>
      <c r="HO191" s="174">
        <f t="shared" si="160"/>
        <v>468</v>
      </c>
      <c r="HP191" s="174">
        <f t="shared" si="161"/>
        <v>309</v>
      </c>
      <c r="HQ191" s="174">
        <f t="shared" si="162"/>
        <v>299</v>
      </c>
      <c r="HR191" s="174">
        <f t="shared" si="163"/>
        <v>299</v>
      </c>
      <c r="HS191" s="174">
        <f t="shared" si="164"/>
        <v>289</v>
      </c>
      <c r="HT191" s="174">
        <f t="shared" si="165"/>
        <v>279</v>
      </c>
      <c r="HU191" s="174">
        <f t="shared" si="166"/>
        <v>627</v>
      </c>
      <c r="HV191" s="174">
        <f t="shared" si="167"/>
        <v>299</v>
      </c>
      <c r="HW191" s="174">
        <f t="shared" si="168"/>
        <v>289</v>
      </c>
      <c r="HX191" s="174">
        <f t="shared" si="169"/>
        <v>448</v>
      </c>
      <c r="HY191" s="174">
        <f t="shared" si="170"/>
        <v>279</v>
      </c>
      <c r="HZ191" s="174">
        <f t="shared" si="171"/>
        <v>269</v>
      </c>
      <c r="IA191" s="174">
        <f t="shared" si="172"/>
        <v>259</v>
      </c>
      <c r="IB191" s="174">
        <f t="shared" si="173"/>
        <v>438</v>
      </c>
      <c r="IC191" s="174">
        <f t="shared" si="174"/>
        <v>418</v>
      </c>
      <c r="ID191" s="174">
        <f t="shared" si="175"/>
        <v>249</v>
      </c>
      <c r="IE191" s="174">
        <f t="shared" si="176"/>
        <v>408</v>
      </c>
      <c r="IF191" s="174">
        <f t="shared" si="177"/>
        <v>249</v>
      </c>
      <c r="IG191" s="174">
        <f t="shared" si="178"/>
        <v>229</v>
      </c>
      <c r="IH191" s="174">
        <f t="shared" si="179"/>
        <v>219</v>
      </c>
      <c r="II191" s="174">
        <f t="shared" si="180"/>
        <v>199</v>
      </c>
      <c r="IJ191" s="174">
        <v>191</v>
      </c>
    </row>
    <row r="192" spans="1:244" ht="13.35" customHeight="1" x14ac:dyDescent="0.2">
      <c r="A192" s="174">
        <v>46</v>
      </c>
      <c r="B192" s="174">
        <f t="shared" si="186"/>
        <v>74</v>
      </c>
      <c r="D192" s="174" t="s">
        <v>1893</v>
      </c>
      <c r="E192" s="174" t="s">
        <v>1923</v>
      </c>
      <c r="F192" s="174" t="s">
        <v>1900</v>
      </c>
      <c r="G192" s="174" t="s">
        <v>1900</v>
      </c>
      <c r="H192" s="174" t="s">
        <v>1900</v>
      </c>
      <c r="I192" s="174" t="s">
        <v>1900</v>
      </c>
      <c r="J192" s="174" t="s">
        <v>1900</v>
      </c>
      <c r="K192" s="174" t="s">
        <v>1900</v>
      </c>
      <c r="L192" s="174" t="s">
        <v>1900</v>
      </c>
      <c r="M192" s="174" t="s">
        <v>1891</v>
      </c>
      <c r="N192" s="174" t="s">
        <v>1891</v>
      </c>
      <c r="O192" s="174" t="s">
        <v>1900</v>
      </c>
      <c r="P192" s="174" t="s">
        <v>1900</v>
      </c>
      <c r="Q192" s="174" t="s">
        <v>1891</v>
      </c>
      <c r="R192" s="174" t="s">
        <v>1900</v>
      </c>
      <c r="S192" s="174" t="s">
        <v>1891</v>
      </c>
      <c r="T192" s="174" t="s">
        <v>1891</v>
      </c>
      <c r="U192" s="174" t="s">
        <v>1891</v>
      </c>
      <c r="V192" s="174" t="s">
        <v>1900</v>
      </c>
      <c r="W192" s="174" t="s">
        <v>1900</v>
      </c>
      <c r="X192" s="174" t="s">
        <v>1900</v>
      </c>
      <c r="Y192" s="174" t="s">
        <v>1900</v>
      </c>
      <c r="AA192" s="174" t="s">
        <v>1900</v>
      </c>
      <c r="AB192" s="174" t="s">
        <v>1900</v>
      </c>
      <c r="AC192" s="174" t="s">
        <v>1900</v>
      </c>
      <c r="AD192" s="174" t="s">
        <v>1900</v>
      </c>
      <c r="AF192" s="174" t="s">
        <v>1891</v>
      </c>
      <c r="AG192" s="174" t="s">
        <v>1900</v>
      </c>
      <c r="AH192" s="174" t="s">
        <v>1900</v>
      </c>
      <c r="AJ192" s="174" t="s">
        <v>1900</v>
      </c>
      <c r="AK192" s="174" t="s">
        <v>1900</v>
      </c>
      <c r="AL192" s="174" t="s">
        <v>1900</v>
      </c>
      <c r="AM192" s="174" t="s">
        <v>1891</v>
      </c>
      <c r="AO192" s="174" t="s">
        <v>1891</v>
      </c>
      <c r="AP192" s="174" t="s">
        <v>1891</v>
      </c>
      <c r="AQ192" s="174" t="s">
        <v>1891</v>
      </c>
      <c r="CS192" s="174" t="s">
        <v>1900</v>
      </c>
      <c r="CT192" s="174" t="s">
        <v>1900</v>
      </c>
      <c r="CU192" s="174" t="s">
        <v>1900</v>
      </c>
      <c r="CV192" s="174" t="s">
        <v>1900</v>
      </c>
      <c r="DF192" s="174">
        <v>17</v>
      </c>
      <c r="EN192" s="174" t="s">
        <v>1924</v>
      </c>
      <c r="EO192" s="268" t="s">
        <v>4193</v>
      </c>
      <c r="EP192" s="268" t="s">
        <v>916</v>
      </c>
      <c r="EQ192" s="268" t="s">
        <v>916</v>
      </c>
      <c r="ER192" s="268" t="s">
        <v>895</v>
      </c>
      <c r="ES192" s="268" t="s">
        <v>895</v>
      </c>
      <c r="ET192" s="268" t="s">
        <v>895</v>
      </c>
      <c r="EU192" s="268" t="s">
        <v>4055</v>
      </c>
      <c r="EV192" s="268" t="s">
        <v>4055</v>
      </c>
      <c r="EW192" s="268" t="s">
        <v>4055</v>
      </c>
      <c r="EX192" s="268" t="s">
        <v>4055</v>
      </c>
      <c r="EY192" s="268" t="s">
        <v>4055</v>
      </c>
      <c r="EZ192" s="268" t="s">
        <v>4055</v>
      </c>
      <c r="FA192" s="268" t="s">
        <v>4184</v>
      </c>
      <c r="FB192" s="268" t="s">
        <v>4184</v>
      </c>
      <c r="FC192" s="268" t="s">
        <v>4184</v>
      </c>
      <c r="FD192" s="268" t="s">
        <v>905</v>
      </c>
      <c r="FE192" s="268" t="s">
        <v>905</v>
      </c>
      <c r="FF192" s="268" t="s">
        <v>905</v>
      </c>
      <c r="FG192" s="268" t="s">
        <v>4186</v>
      </c>
      <c r="FH192" s="268" t="s">
        <v>4186</v>
      </c>
      <c r="FI192" s="268" t="s">
        <v>4186</v>
      </c>
      <c r="FJ192" s="268" t="s">
        <v>4186</v>
      </c>
      <c r="FK192" s="268" t="s">
        <v>4186</v>
      </c>
      <c r="FL192" s="268" t="s">
        <v>4186</v>
      </c>
      <c r="FM192" s="268" t="s">
        <v>4186</v>
      </c>
      <c r="FN192" s="268" t="s">
        <v>4186</v>
      </c>
      <c r="FO192" s="268" t="s">
        <v>4186</v>
      </c>
      <c r="FP192" s="268" t="s">
        <v>4186</v>
      </c>
      <c r="FQ192" s="268" t="s">
        <v>4186</v>
      </c>
      <c r="FR192" s="268" t="s">
        <v>4186</v>
      </c>
      <c r="FS192" s="268" t="s">
        <v>4186</v>
      </c>
      <c r="FT192" s="268" t="s">
        <v>4186</v>
      </c>
      <c r="FU192" s="268" t="s">
        <v>4186</v>
      </c>
      <c r="FV192" s="268" t="s">
        <v>4186</v>
      </c>
      <c r="FW192" s="268" t="s">
        <v>4186</v>
      </c>
      <c r="FX192" s="268" t="s">
        <v>4186</v>
      </c>
      <c r="FY192" s="268" t="s">
        <v>1013</v>
      </c>
      <c r="FZ192" s="268" t="s">
        <v>1013</v>
      </c>
      <c r="GA192" s="185"/>
      <c r="GB192" s="185"/>
      <c r="GC192" s="185"/>
      <c r="GE192" s="185"/>
      <c r="GF192" s="185"/>
      <c r="GG192" s="185"/>
      <c r="GH192" s="185"/>
      <c r="GI192" s="185"/>
      <c r="GJ192" s="185"/>
      <c r="GK192" s="185"/>
      <c r="GL192" s="185"/>
      <c r="GM192" s="185"/>
      <c r="GN192" s="185"/>
      <c r="GO192" s="185"/>
      <c r="GP192" s="185"/>
      <c r="GQ192" s="185"/>
      <c r="HB192" s="197">
        <v>189</v>
      </c>
      <c r="HC192" s="194">
        <v>115</v>
      </c>
      <c r="HD192" s="238">
        <v>139.5</v>
      </c>
      <c r="HE192" s="236">
        <v>25</v>
      </c>
      <c r="HF192" s="183">
        <v>254</v>
      </c>
      <c r="HG192" s="193">
        <f t="shared" si="152"/>
        <v>249</v>
      </c>
      <c r="HH192" s="192" t="e">
        <f t="shared" si="182"/>
        <v>#REF!</v>
      </c>
      <c r="HI192" s="198">
        <v>25</v>
      </c>
      <c r="HJ192" s="185">
        <v>184.5</v>
      </c>
      <c r="HK192" s="174">
        <v>190</v>
      </c>
      <c r="HL192" s="174">
        <f t="shared" si="157"/>
        <v>830</v>
      </c>
      <c r="HM192" s="174">
        <f t="shared" si="158"/>
        <v>820</v>
      </c>
      <c r="HN192" s="174">
        <f t="shared" si="159"/>
        <v>640</v>
      </c>
      <c r="HO192" s="174">
        <f t="shared" si="160"/>
        <v>470</v>
      </c>
      <c r="HP192" s="174">
        <f t="shared" si="161"/>
        <v>310</v>
      </c>
      <c r="HQ192" s="174">
        <f t="shared" si="162"/>
        <v>300</v>
      </c>
      <c r="HR192" s="174">
        <f t="shared" si="163"/>
        <v>300</v>
      </c>
      <c r="HS192" s="174">
        <f t="shared" si="164"/>
        <v>290</v>
      </c>
      <c r="HT192" s="174">
        <f t="shared" si="165"/>
        <v>280</v>
      </c>
      <c r="HU192" s="174">
        <f t="shared" si="166"/>
        <v>630</v>
      </c>
      <c r="HV192" s="174">
        <f t="shared" si="167"/>
        <v>300</v>
      </c>
      <c r="HW192" s="174">
        <f t="shared" si="168"/>
        <v>290</v>
      </c>
      <c r="HX192" s="174">
        <f t="shared" si="169"/>
        <v>450</v>
      </c>
      <c r="HY192" s="174">
        <f t="shared" si="170"/>
        <v>280</v>
      </c>
      <c r="HZ192" s="174">
        <f t="shared" si="171"/>
        <v>270</v>
      </c>
      <c r="IA192" s="174">
        <f t="shared" si="172"/>
        <v>260</v>
      </c>
      <c r="IB192" s="174">
        <f t="shared" si="173"/>
        <v>440</v>
      </c>
      <c r="IC192" s="174">
        <f t="shared" si="174"/>
        <v>420</v>
      </c>
      <c r="ID192" s="174">
        <f t="shared" si="175"/>
        <v>250</v>
      </c>
      <c r="IE192" s="174">
        <f t="shared" si="176"/>
        <v>410</v>
      </c>
      <c r="IF192" s="174">
        <f t="shared" si="177"/>
        <v>250</v>
      </c>
      <c r="IG192" s="174">
        <f t="shared" si="178"/>
        <v>230</v>
      </c>
      <c r="IH192" s="174">
        <f t="shared" si="179"/>
        <v>220</v>
      </c>
      <c r="II192" s="174">
        <f t="shared" si="180"/>
        <v>200</v>
      </c>
      <c r="IJ192" s="174">
        <v>192</v>
      </c>
    </row>
    <row r="193" spans="1:244" ht="13.35" customHeight="1" x14ac:dyDescent="0.2">
      <c r="A193" s="174">
        <v>47</v>
      </c>
      <c r="B193" s="174">
        <f t="shared" si="186"/>
        <v>75</v>
      </c>
      <c r="D193" s="174" t="s">
        <v>1885</v>
      </c>
      <c r="E193" s="174" t="s">
        <v>356</v>
      </c>
      <c r="F193" s="174" t="s">
        <v>1891</v>
      </c>
      <c r="G193" s="174" t="s">
        <v>1891</v>
      </c>
      <c r="H193" s="174" t="s">
        <v>1891</v>
      </c>
      <c r="I193" s="174" t="s">
        <v>1891</v>
      </c>
      <c r="J193" s="174" t="s">
        <v>1891</v>
      </c>
      <c r="K193" s="174" t="s">
        <v>1891</v>
      </c>
      <c r="L193" s="174" t="s">
        <v>1891</v>
      </c>
      <c r="M193" s="174" t="s">
        <v>1903</v>
      </c>
      <c r="N193" s="174" t="s">
        <v>1903</v>
      </c>
      <c r="O193" s="174" t="s">
        <v>1891</v>
      </c>
      <c r="P193" s="174" t="s">
        <v>1891</v>
      </c>
      <c r="Q193" s="174" t="s">
        <v>1903</v>
      </c>
      <c r="R193" s="174" t="s">
        <v>1891</v>
      </c>
      <c r="S193" s="174" t="s">
        <v>1903</v>
      </c>
      <c r="T193" s="174" t="s">
        <v>1903</v>
      </c>
      <c r="U193" s="174" t="s">
        <v>1903</v>
      </c>
      <c r="V193" s="174" t="s">
        <v>1891</v>
      </c>
      <c r="W193" s="174" t="s">
        <v>1891</v>
      </c>
      <c r="X193" s="174" t="s">
        <v>1891</v>
      </c>
      <c r="Y193" s="174" t="s">
        <v>1891</v>
      </c>
      <c r="AA193" s="174" t="s">
        <v>1891</v>
      </c>
      <c r="AB193" s="174" t="s">
        <v>1891</v>
      </c>
      <c r="AC193" s="174" t="s">
        <v>1891</v>
      </c>
      <c r="AD193" s="174" t="s">
        <v>1891</v>
      </c>
      <c r="AF193" s="174" t="s">
        <v>1903</v>
      </c>
      <c r="AG193" s="174" t="s">
        <v>1891</v>
      </c>
      <c r="AH193" s="174" t="s">
        <v>1891</v>
      </c>
      <c r="AJ193" s="174" t="s">
        <v>1891</v>
      </c>
      <c r="AK193" s="174" t="s">
        <v>1891</v>
      </c>
      <c r="AL193" s="174" t="s">
        <v>1891</v>
      </c>
      <c r="AM193" s="174" t="s">
        <v>1903</v>
      </c>
      <c r="AO193" s="174" t="s">
        <v>1903</v>
      </c>
      <c r="AP193" s="174" t="s">
        <v>1903</v>
      </c>
      <c r="AQ193" s="174" t="s">
        <v>1903</v>
      </c>
      <c r="CS193" s="174" t="s">
        <v>1891</v>
      </c>
      <c r="CT193" s="174" t="s">
        <v>1891</v>
      </c>
      <c r="CU193" s="174" t="s">
        <v>1891</v>
      </c>
      <c r="CV193" s="174" t="s">
        <v>1891</v>
      </c>
      <c r="DF193" s="174">
        <v>18</v>
      </c>
      <c r="EO193" s="268" t="s">
        <v>4193</v>
      </c>
      <c r="EP193" s="268" t="s">
        <v>977</v>
      </c>
      <c r="EQ193" s="268" t="s">
        <v>976</v>
      </c>
      <c r="ER193" s="268" t="s">
        <v>4360</v>
      </c>
      <c r="ES193" s="268" t="s">
        <v>4359</v>
      </c>
      <c r="ET193" s="268" t="s">
        <v>4364</v>
      </c>
      <c r="EU193" s="268" t="s">
        <v>4181</v>
      </c>
      <c r="EV193" s="268" t="s">
        <v>899</v>
      </c>
      <c r="EW193" s="268" t="s">
        <v>4172</v>
      </c>
      <c r="EX193" s="268" t="s">
        <v>4171</v>
      </c>
      <c r="EY193" s="268" t="s">
        <v>4180</v>
      </c>
      <c r="EZ193" s="268" t="s">
        <v>4173</v>
      </c>
      <c r="FA193" s="268" t="s">
        <v>4183</v>
      </c>
      <c r="FB193" s="268" t="s">
        <v>4349</v>
      </c>
      <c r="FC193" s="268" t="s">
        <v>4185</v>
      </c>
      <c r="FD193" s="268" t="s">
        <v>4361</v>
      </c>
      <c r="FE193" s="268" t="s">
        <v>4393</v>
      </c>
      <c r="FF193" s="268" t="s">
        <v>4371</v>
      </c>
      <c r="FG193" s="268" t="s">
        <v>4269</v>
      </c>
      <c r="FH193" s="268" t="s">
        <v>4197</v>
      </c>
      <c r="FI193" s="268" t="s">
        <v>4187</v>
      </c>
      <c r="FJ193" s="268" t="s">
        <v>4188</v>
      </c>
      <c r="FK193" s="268" t="s">
        <v>4195</v>
      </c>
      <c r="FL193" s="268" t="s">
        <v>4198</v>
      </c>
      <c r="FM193" s="268" t="s">
        <v>4199</v>
      </c>
      <c r="FN193" s="268" t="s">
        <v>4200</v>
      </c>
      <c r="FO193" s="268" t="s">
        <v>4189</v>
      </c>
      <c r="FP193" s="268" t="s">
        <v>4388</v>
      </c>
      <c r="FQ193" s="268" t="s">
        <v>4190</v>
      </c>
      <c r="FR193" s="268" t="s">
        <v>4201</v>
      </c>
      <c r="FS193" s="268" t="s">
        <v>4191</v>
      </c>
      <c r="FT193" s="268" t="s">
        <v>4202</v>
      </c>
      <c r="FU193" s="268" t="s">
        <v>4192</v>
      </c>
      <c r="FV193" s="268" t="s">
        <v>4203</v>
      </c>
      <c r="FW193" s="268" t="s">
        <v>4377</v>
      </c>
      <c r="FX193" s="268" t="s">
        <v>4204</v>
      </c>
      <c r="FY193" s="268" t="s">
        <v>913</v>
      </c>
      <c r="FZ193" s="268" t="s">
        <v>1058</v>
      </c>
      <c r="GA193" s="185"/>
      <c r="GB193" s="185"/>
      <c r="GC193" s="185"/>
      <c r="GE193" s="185"/>
      <c r="GF193" s="185"/>
      <c r="GG193" s="185"/>
      <c r="GH193" s="185"/>
      <c r="GI193" s="185"/>
      <c r="GJ193" s="185"/>
      <c r="GK193" s="185"/>
      <c r="GL193" s="185"/>
      <c r="GM193" s="185"/>
      <c r="GN193" s="185"/>
      <c r="GO193" s="185"/>
      <c r="GP193" s="185"/>
      <c r="GQ193" s="185"/>
      <c r="HA193" s="174">
        <v>1</v>
      </c>
      <c r="HB193" s="197">
        <v>190</v>
      </c>
      <c r="HC193" s="194">
        <v>115</v>
      </c>
      <c r="HD193" s="238">
        <v>140</v>
      </c>
      <c r="HE193" s="236">
        <v>25</v>
      </c>
      <c r="HF193" s="183">
        <v>255</v>
      </c>
      <c r="HG193" s="193">
        <f t="shared" si="152"/>
        <v>250</v>
      </c>
      <c r="HH193" s="192" t="e">
        <f t="shared" si="182"/>
        <v>#REF!</v>
      </c>
      <c r="HI193" s="198">
        <v>25</v>
      </c>
      <c r="HJ193" s="185">
        <v>185</v>
      </c>
      <c r="HK193" s="174">
        <v>191</v>
      </c>
      <c r="HL193" s="174">
        <f t="shared" si="157"/>
        <v>834</v>
      </c>
      <c r="HM193" s="174">
        <f t="shared" si="158"/>
        <v>824</v>
      </c>
      <c r="HN193" s="174">
        <f t="shared" si="159"/>
        <v>643</v>
      </c>
      <c r="HO193" s="174">
        <f t="shared" si="160"/>
        <v>472</v>
      </c>
      <c r="HP193" s="174">
        <f t="shared" si="161"/>
        <v>311</v>
      </c>
      <c r="HQ193" s="174">
        <f t="shared" si="162"/>
        <v>301</v>
      </c>
      <c r="HR193" s="174">
        <f t="shared" si="163"/>
        <v>301</v>
      </c>
      <c r="HS193" s="174">
        <f t="shared" si="164"/>
        <v>291</v>
      </c>
      <c r="HT193" s="174">
        <f t="shared" si="165"/>
        <v>281</v>
      </c>
      <c r="HU193" s="174">
        <f t="shared" si="166"/>
        <v>633</v>
      </c>
      <c r="HV193" s="174">
        <f t="shared" si="167"/>
        <v>301</v>
      </c>
      <c r="HW193" s="174">
        <f t="shared" si="168"/>
        <v>291</v>
      </c>
      <c r="HX193" s="174">
        <f t="shared" si="169"/>
        <v>452</v>
      </c>
      <c r="HY193" s="174">
        <f t="shared" si="170"/>
        <v>281</v>
      </c>
      <c r="HZ193" s="174">
        <f t="shared" si="171"/>
        <v>271</v>
      </c>
      <c r="IA193" s="174">
        <f t="shared" si="172"/>
        <v>261</v>
      </c>
      <c r="IB193" s="174">
        <f t="shared" si="173"/>
        <v>442</v>
      </c>
      <c r="IC193" s="174">
        <f t="shared" si="174"/>
        <v>422</v>
      </c>
      <c r="ID193" s="174">
        <f t="shared" si="175"/>
        <v>251</v>
      </c>
      <c r="IE193" s="174">
        <f t="shared" si="176"/>
        <v>412</v>
      </c>
      <c r="IF193" s="174">
        <f t="shared" si="177"/>
        <v>251</v>
      </c>
      <c r="IG193" s="174">
        <f t="shared" si="178"/>
        <v>231</v>
      </c>
      <c r="IH193" s="174">
        <f t="shared" si="179"/>
        <v>221</v>
      </c>
      <c r="II193" s="174">
        <f t="shared" si="180"/>
        <v>201</v>
      </c>
      <c r="IJ193" s="174">
        <v>193</v>
      </c>
    </row>
    <row r="194" spans="1:244" ht="13.35" customHeight="1" x14ac:dyDescent="0.2">
      <c r="A194" s="174">
        <v>48</v>
      </c>
      <c r="B194" s="174">
        <f t="shared" si="186"/>
        <v>76</v>
      </c>
      <c r="D194" s="174" t="s">
        <v>1896</v>
      </c>
      <c r="E194" s="174" t="s">
        <v>1925</v>
      </c>
      <c r="F194" s="174" t="s">
        <v>1903</v>
      </c>
      <c r="G194" s="174" t="s">
        <v>1903</v>
      </c>
      <c r="H194" s="174" t="s">
        <v>1903</v>
      </c>
      <c r="I194" s="174" t="s">
        <v>1903</v>
      </c>
      <c r="J194" s="174" t="s">
        <v>1903</v>
      </c>
      <c r="K194" s="174" t="s">
        <v>1903</v>
      </c>
      <c r="L194" s="174" t="s">
        <v>1903</v>
      </c>
      <c r="M194" s="174" t="s">
        <v>1887</v>
      </c>
      <c r="N194" s="174" t="s">
        <v>1887</v>
      </c>
      <c r="O194" s="174" t="s">
        <v>1903</v>
      </c>
      <c r="P194" s="174" t="s">
        <v>1903</v>
      </c>
      <c r="Q194" s="174" t="s">
        <v>1887</v>
      </c>
      <c r="R194" s="174" t="s">
        <v>1903</v>
      </c>
      <c r="S194" s="174" t="s">
        <v>1887</v>
      </c>
      <c r="T194" s="174" t="s">
        <v>1887</v>
      </c>
      <c r="U194" s="174" t="s">
        <v>1887</v>
      </c>
      <c r="V194" s="174" t="s">
        <v>1903</v>
      </c>
      <c r="W194" s="174" t="s">
        <v>1903</v>
      </c>
      <c r="X194" s="174" t="s">
        <v>1903</v>
      </c>
      <c r="Y194" s="174" t="s">
        <v>1903</v>
      </c>
      <c r="AA194" s="174" t="s">
        <v>1903</v>
      </c>
      <c r="AB194" s="174" t="s">
        <v>1903</v>
      </c>
      <c r="AC194" s="174" t="s">
        <v>1903</v>
      </c>
      <c r="AD194" s="174" t="s">
        <v>1903</v>
      </c>
      <c r="AF194" s="174" t="s">
        <v>1887</v>
      </c>
      <c r="AG194" s="174" t="s">
        <v>1903</v>
      </c>
      <c r="AH194" s="174" t="s">
        <v>1903</v>
      </c>
      <c r="AJ194" s="174" t="s">
        <v>1903</v>
      </c>
      <c r="AK194" s="174" t="s">
        <v>1903</v>
      </c>
      <c r="AL194" s="174" t="s">
        <v>1903</v>
      </c>
      <c r="AM194" s="174" t="s">
        <v>1887</v>
      </c>
      <c r="AO194" s="174" t="s">
        <v>1887</v>
      </c>
      <c r="AP194" s="174" t="s">
        <v>1887</v>
      </c>
      <c r="AQ194" s="174" t="s">
        <v>1887</v>
      </c>
      <c r="CS194" s="174" t="s">
        <v>1903</v>
      </c>
      <c r="CT194" s="174" t="s">
        <v>1903</v>
      </c>
      <c r="CU194" s="174" t="s">
        <v>1903</v>
      </c>
      <c r="CV194" s="174" t="s">
        <v>1903</v>
      </c>
      <c r="DF194" s="174">
        <v>19</v>
      </c>
      <c r="EO194" s="174" t="s">
        <v>4312</v>
      </c>
      <c r="EP194" s="174" t="s">
        <v>1915</v>
      </c>
      <c r="EQ194" s="174" t="s">
        <v>1915</v>
      </c>
      <c r="ER194" s="174" t="s">
        <v>4306</v>
      </c>
      <c r="ES194" s="174" t="s">
        <v>1933</v>
      </c>
      <c r="ET194" s="174" t="s">
        <v>1927</v>
      </c>
      <c r="EU194" s="174" t="s">
        <v>1935</v>
      </c>
      <c r="EW194" s="174" t="s">
        <v>1927</v>
      </c>
      <c r="EX194" s="174" t="s">
        <v>358</v>
      </c>
      <c r="EY194" s="174" t="s">
        <v>1913</v>
      </c>
      <c r="EZ194" s="174" t="s">
        <v>359</v>
      </c>
      <c r="FA194" s="174" t="s">
        <v>1913</v>
      </c>
      <c r="FB194" s="174" t="s">
        <v>4313</v>
      </c>
      <c r="FC194" s="174" t="s">
        <v>1936</v>
      </c>
      <c r="FD194" s="174" t="s">
        <v>4317</v>
      </c>
      <c r="FE194" s="174" t="s">
        <v>1929</v>
      </c>
      <c r="FF194" s="174" t="s">
        <v>1936</v>
      </c>
      <c r="FG194" s="174" t="s">
        <v>4270</v>
      </c>
      <c r="FH194" s="174" t="s">
        <v>1913</v>
      </c>
      <c r="FI194" s="174" t="s">
        <v>4271</v>
      </c>
      <c r="FJ194" s="174" t="s">
        <v>4272</v>
      </c>
      <c r="FK194" s="174" t="s">
        <v>4272</v>
      </c>
      <c r="FL194" s="174" t="s">
        <v>1927</v>
      </c>
      <c r="FM194" s="174" t="s">
        <v>4270</v>
      </c>
      <c r="FN194" s="174" t="s">
        <v>1927</v>
      </c>
      <c r="FO194" s="174" t="s">
        <v>1927</v>
      </c>
      <c r="FP194" s="174" t="s">
        <v>1927</v>
      </c>
      <c r="FQ194" s="174" t="s">
        <v>4290</v>
      </c>
      <c r="FR194" s="174" t="s">
        <v>1953</v>
      </c>
      <c r="FS194" s="174" t="s">
        <v>4270</v>
      </c>
      <c r="FT194" s="174" t="s">
        <v>1927</v>
      </c>
      <c r="FU194" s="174" t="s">
        <v>4295</v>
      </c>
      <c r="FV194" s="174" t="s">
        <v>4296</v>
      </c>
      <c r="FW194" s="174" t="s">
        <v>1933</v>
      </c>
      <c r="FX194" s="174" t="s">
        <v>1927</v>
      </c>
      <c r="FY194" s="174" t="s">
        <v>1934</v>
      </c>
      <c r="FZ194" s="174" t="s">
        <v>1913</v>
      </c>
      <c r="HA194" s="174">
        <v>2</v>
      </c>
      <c r="HB194" s="197">
        <v>191</v>
      </c>
      <c r="HC194" s="194">
        <v>116</v>
      </c>
      <c r="HD194" s="238">
        <v>140.5</v>
      </c>
      <c r="HE194" s="236">
        <v>25</v>
      </c>
      <c r="HF194" s="183">
        <v>256</v>
      </c>
      <c r="HG194" s="193">
        <f t="shared" si="152"/>
        <v>251</v>
      </c>
      <c r="HH194" s="192" t="e">
        <f t="shared" si="182"/>
        <v>#REF!</v>
      </c>
      <c r="HI194" s="198">
        <v>25</v>
      </c>
      <c r="HJ194" s="185">
        <v>185.5</v>
      </c>
      <c r="HK194" s="174">
        <v>192</v>
      </c>
      <c r="HL194" s="174">
        <f t="shared" si="157"/>
        <v>838</v>
      </c>
      <c r="HM194" s="174">
        <f t="shared" si="158"/>
        <v>828</v>
      </c>
      <c r="HN194" s="174">
        <f t="shared" si="159"/>
        <v>646</v>
      </c>
      <c r="HO194" s="174">
        <f t="shared" si="160"/>
        <v>474</v>
      </c>
      <c r="HP194" s="174">
        <f t="shared" si="161"/>
        <v>312</v>
      </c>
      <c r="HQ194" s="174">
        <f t="shared" si="162"/>
        <v>302</v>
      </c>
      <c r="HR194" s="174">
        <f t="shared" si="163"/>
        <v>302</v>
      </c>
      <c r="HS194" s="174">
        <f t="shared" si="164"/>
        <v>292</v>
      </c>
      <c r="HT194" s="174">
        <f t="shared" si="165"/>
        <v>282</v>
      </c>
      <c r="HU194" s="174">
        <f t="shared" si="166"/>
        <v>636</v>
      </c>
      <c r="HV194" s="174">
        <f t="shared" si="167"/>
        <v>302</v>
      </c>
      <c r="HW194" s="174">
        <f t="shared" si="168"/>
        <v>292</v>
      </c>
      <c r="HX194" s="174">
        <f t="shared" si="169"/>
        <v>454</v>
      </c>
      <c r="HY194" s="174">
        <f t="shared" si="170"/>
        <v>282</v>
      </c>
      <c r="HZ194" s="174">
        <f t="shared" si="171"/>
        <v>272</v>
      </c>
      <c r="IA194" s="174">
        <f t="shared" si="172"/>
        <v>262</v>
      </c>
      <c r="IB194" s="174">
        <f t="shared" si="173"/>
        <v>444</v>
      </c>
      <c r="IC194" s="174">
        <f t="shared" si="174"/>
        <v>424</v>
      </c>
      <c r="ID194" s="174">
        <f t="shared" si="175"/>
        <v>252</v>
      </c>
      <c r="IE194" s="174">
        <f t="shared" si="176"/>
        <v>414</v>
      </c>
      <c r="IF194" s="174">
        <f t="shared" si="177"/>
        <v>252</v>
      </c>
      <c r="IG194" s="174">
        <f t="shared" si="178"/>
        <v>232</v>
      </c>
      <c r="IH194" s="174">
        <f t="shared" si="179"/>
        <v>222</v>
      </c>
      <c r="II194" s="174">
        <f t="shared" si="180"/>
        <v>202</v>
      </c>
      <c r="IJ194" s="174">
        <v>194</v>
      </c>
    </row>
    <row r="195" spans="1:244" ht="13.35" customHeight="1" x14ac:dyDescent="0.2">
      <c r="A195" s="174">
        <v>49</v>
      </c>
      <c r="B195" s="174">
        <f t="shared" si="186"/>
        <v>77</v>
      </c>
      <c r="D195" s="174" t="s">
        <v>1901</v>
      </c>
      <c r="E195" s="174" t="s">
        <v>1935</v>
      </c>
      <c r="F195" s="174" t="s">
        <v>1887</v>
      </c>
      <c r="G195" s="174" t="s">
        <v>1887</v>
      </c>
      <c r="H195" s="174" t="s">
        <v>1887</v>
      </c>
      <c r="I195" s="174" t="s">
        <v>1887</v>
      </c>
      <c r="J195" s="174" t="s">
        <v>1887</v>
      </c>
      <c r="K195" s="174" t="s">
        <v>1887</v>
      </c>
      <c r="L195" s="174" t="s">
        <v>1887</v>
      </c>
      <c r="M195" s="174" t="s">
        <v>1890</v>
      </c>
      <c r="N195" s="174" t="s">
        <v>1890</v>
      </c>
      <c r="O195" s="174" t="s">
        <v>1887</v>
      </c>
      <c r="P195" s="174" t="s">
        <v>1887</v>
      </c>
      <c r="Q195" s="174" t="s">
        <v>1890</v>
      </c>
      <c r="R195" s="174" t="s">
        <v>1887</v>
      </c>
      <c r="S195" s="174" t="s">
        <v>1890</v>
      </c>
      <c r="T195" s="174" t="s">
        <v>1890</v>
      </c>
      <c r="U195" s="174" t="s">
        <v>1890</v>
      </c>
      <c r="V195" s="174" t="s">
        <v>1887</v>
      </c>
      <c r="W195" s="174" t="s">
        <v>1887</v>
      </c>
      <c r="X195" s="174" t="s">
        <v>1887</v>
      </c>
      <c r="Y195" s="174" t="s">
        <v>1887</v>
      </c>
      <c r="AA195" s="174" t="s">
        <v>1887</v>
      </c>
      <c r="AB195" s="174" t="s">
        <v>1887</v>
      </c>
      <c r="AC195" s="174" t="s">
        <v>1887</v>
      </c>
      <c r="AD195" s="174" t="s">
        <v>1887</v>
      </c>
      <c r="AF195" s="174" t="s">
        <v>1890</v>
      </c>
      <c r="AG195" s="174" t="s">
        <v>1887</v>
      </c>
      <c r="AH195" s="174" t="s">
        <v>1887</v>
      </c>
      <c r="AJ195" s="174" t="s">
        <v>1887</v>
      </c>
      <c r="AK195" s="174" t="s">
        <v>1887</v>
      </c>
      <c r="AL195" s="174" t="s">
        <v>1887</v>
      </c>
      <c r="AM195" s="174" t="s">
        <v>1890</v>
      </c>
      <c r="AO195" s="174" t="s">
        <v>1890</v>
      </c>
      <c r="AP195" s="174" t="s">
        <v>1890</v>
      </c>
      <c r="AQ195" s="174" t="s">
        <v>1890</v>
      </c>
      <c r="CS195" s="174" t="s">
        <v>1887</v>
      </c>
      <c r="CT195" s="174" t="s">
        <v>1887</v>
      </c>
      <c r="CU195" s="174" t="s">
        <v>1887</v>
      </c>
      <c r="CV195" s="174" t="s">
        <v>1887</v>
      </c>
      <c r="DF195" s="174">
        <v>20</v>
      </c>
      <c r="EO195" s="174" t="s">
        <v>356</v>
      </c>
      <c r="ES195" s="174" t="s">
        <v>1936</v>
      </c>
      <c r="EU195" s="174" t="s">
        <v>1908</v>
      </c>
      <c r="EZ195" s="174" t="s">
        <v>1936</v>
      </c>
      <c r="FA195" s="174" t="s">
        <v>4314</v>
      </c>
      <c r="FC195" s="174" t="s">
        <v>1913</v>
      </c>
      <c r="FD195" s="174" t="s">
        <v>1913</v>
      </c>
      <c r="FF195" s="174" t="s">
        <v>1913</v>
      </c>
      <c r="FG195" s="174" t="s">
        <v>1926</v>
      </c>
      <c r="FK195" s="174" t="s">
        <v>1927</v>
      </c>
      <c r="FU195" s="174" t="s">
        <v>1927</v>
      </c>
      <c r="FX195" s="174" t="s">
        <v>1936</v>
      </c>
      <c r="FY195" s="174" t="s">
        <v>1915</v>
      </c>
      <c r="FZ195" s="174" t="s">
        <v>4285</v>
      </c>
      <c r="HA195" s="174">
        <v>3</v>
      </c>
      <c r="HB195" s="197">
        <v>192</v>
      </c>
      <c r="HC195" s="194">
        <v>116</v>
      </c>
      <c r="HD195" s="238">
        <v>141</v>
      </c>
      <c r="HE195" s="236">
        <v>25</v>
      </c>
      <c r="HF195" s="183">
        <v>257</v>
      </c>
      <c r="HG195" s="193">
        <f t="shared" ref="HG195:HG203" si="187">HLOOKUP($B$154,$HK$1:$IJ$202,$IJ194,0)</f>
        <v>252</v>
      </c>
      <c r="HH195" s="192" t="e">
        <f t="shared" si="182"/>
        <v>#REF!</v>
      </c>
      <c r="HI195" s="198">
        <v>25</v>
      </c>
      <c r="HJ195" s="185">
        <v>186</v>
      </c>
      <c r="HK195" s="174">
        <v>193</v>
      </c>
      <c r="HL195" s="174">
        <f t="shared" si="157"/>
        <v>842</v>
      </c>
      <c r="HM195" s="174">
        <f t="shared" si="158"/>
        <v>832</v>
      </c>
      <c r="HN195" s="174">
        <f t="shared" si="159"/>
        <v>649</v>
      </c>
      <c r="HO195" s="174">
        <f t="shared" si="160"/>
        <v>476</v>
      </c>
      <c r="HP195" s="174">
        <f t="shared" si="161"/>
        <v>313</v>
      </c>
      <c r="HQ195" s="174">
        <f t="shared" si="162"/>
        <v>303</v>
      </c>
      <c r="HR195" s="174">
        <f t="shared" si="163"/>
        <v>303</v>
      </c>
      <c r="HS195" s="174">
        <f t="shared" si="164"/>
        <v>293</v>
      </c>
      <c r="HT195" s="174">
        <f t="shared" si="165"/>
        <v>283</v>
      </c>
      <c r="HU195" s="174">
        <f t="shared" si="166"/>
        <v>639</v>
      </c>
      <c r="HV195" s="174">
        <f t="shared" si="167"/>
        <v>303</v>
      </c>
      <c r="HW195" s="174">
        <f t="shared" si="168"/>
        <v>293</v>
      </c>
      <c r="HX195" s="174">
        <f t="shared" si="169"/>
        <v>456</v>
      </c>
      <c r="HY195" s="174">
        <f t="shared" si="170"/>
        <v>283</v>
      </c>
      <c r="HZ195" s="174">
        <f t="shared" si="171"/>
        <v>273</v>
      </c>
      <c r="IA195" s="174">
        <f t="shared" si="172"/>
        <v>263</v>
      </c>
      <c r="IB195" s="174">
        <f t="shared" si="173"/>
        <v>446</v>
      </c>
      <c r="IC195" s="174">
        <f t="shared" si="174"/>
        <v>426</v>
      </c>
      <c r="ID195" s="174">
        <f t="shared" si="175"/>
        <v>253</v>
      </c>
      <c r="IE195" s="174">
        <f t="shared" si="176"/>
        <v>416</v>
      </c>
      <c r="IF195" s="174">
        <f t="shared" si="177"/>
        <v>253</v>
      </c>
      <c r="IG195" s="174">
        <f t="shared" si="178"/>
        <v>233</v>
      </c>
      <c r="IH195" s="174">
        <f t="shared" si="179"/>
        <v>223</v>
      </c>
      <c r="II195" s="174">
        <f t="shared" si="180"/>
        <v>203</v>
      </c>
      <c r="IJ195" s="174">
        <v>195</v>
      </c>
    </row>
    <row r="196" spans="1:244" ht="13.35" customHeight="1" x14ac:dyDescent="0.2">
      <c r="A196" s="174">
        <v>50</v>
      </c>
      <c r="B196" s="174">
        <f t="shared" si="186"/>
        <v>78</v>
      </c>
      <c r="D196" s="174" t="s">
        <v>1904</v>
      </c>
      <c r="E196" s="174" t="s">
        <v>1938</v>
      </c>
      <c r="F196" s="174" t="s">
        <v>1890</v>
      </c>
      <c r="G196" s="174" t="s">
        <v>1890</v>
      </c>
      <c r="H196" s="174" t="s">
        <v>1890</v>
      </c>
      <c r="I196" s="174" t="s">
        <v>1890</v>
      </c>
      <c r="J196" s="174" t="s">
        <v>1890</v>
      </c>
      <c r="K196" s="174" t="s">
        <v>1890</v>
      </c>
      <c r="L196" s="174" t="s">
        <v>1890</v>
      </c>
      <c r="M196" s="174" t="s">
        <v>1898</v>
      </c>
      <c r="N196" s="174" t="s">
        <v>1898</v>
      </c>
      <c r="O196" s="174" t="s">
        <v>1890</v>
      </c>
      <c r="P196" s="174" t="s">
        <v>1890</v>
      </c>
      <c r="Q196" s="174" t="s">
        <v>1898</v>
      </c>
      <c r="R196" s="174" t="s">
        <v>1890</v>
      </c>
      <c r="S196" s="174" t="s">
        <v>1898</v>
      </c>
      <c r="T196" s="174" t="s">
        <v>1898</v>
      </c>
      <c r="U196" s="174" t="s">
        <v>1898</v>
      </c>
      <c r="V196" s="174" t="s">
        <v>1890</v>
      </c>
      <c r="W196" s="174" t="s">
        <v>1890</v>
      </c>
      <c r="X196" s="174" t="s">
        <v>1890</v>
      </c>
      <c r="Y196" s="174" t="s">
        <v>1890</v>
      </c>
      <c r="AA196" s="174" t="s">
        <v>1890</v>
      </c>
      <c r="AB196" s="174" t="s">
        <v>1890</v>
      </c>
      <c r="AC196" s="174" t="s">
        <v>1890</v>
      </c>
      <c r="AD196" s="174" t="s">
        <v>1890</v>
      </c>
      <c r="AF196" s="174" t="s">
        <v>1898</v>
      </c>
      <c r="AG196" s="174" t="s">
        <v>1890</v>
      </c>
      <c r="AH196" s="174" t="s">
        <v>1890</v>
      </c>
      <c r="AJ196" s="174" t="s">
        <v>1890</v>
      </c>
      <c r="AK196" s="174" t="s">
        <v>1890</v>
      </c>
      <c r="AL196" s="174" t="s">
        <v>1890</v>
      </c>
      <c r="AM196" s="174" t="s">
        <v>1898</v>
      </c>
      <c r="AO196" s="174" t="s">
        <v>1898</v>
      </c>
      <c r="AP196" s="174" t="s">
        <v>1898</v>
      </c>
      <c r="AQ196" s="174" t="s">
        <v>1898</v>
      </c>
      <c r="CS196" s="174" t="s">
        <v>1890</v>
      </c>
      <c r="CT196" s="174" t="s">
        <v>1890</v>
      </c>
      <c r="CU196" s="174" t="s">
        <v>1890</v>
      </c>
      <c r="CV196" s="174" t="s">
        <v>1890</v>
      </c>
      <c r="DF196" s="174">
        <v>21</v>
      </c>
      <c r="EO196" s="219" t="s">
        <v>358</v>
      </c>
      <c r="EP196" s="219"/>
      <c r="EQ196" s="219"/>
      <c r="ER196" s="219"/>
      <c r="ES196" s="219"/>
      <c r="ET196" s="219"/>
      <c r="EU196" s="219"/>
      <c r="EV196" s="219"/>
      <c r="EW196" s="219"/>
      <c r="EX196" s="219"/>
      <c r="EY196" s="219"/>
      <c r="EZ196" s="219"/>
      <c r="FA196" s="219"/>
      <c r="FB196" s="219"/>
      <c r="FC196" s="219"/>
      <c r="FD196" s="219" t="s">
        <v>1936</v>
      </c>
      <c r="FE196" s="219"/>
      <c r="FF196" s="219"/>
      <c r="FG196" s="219"/>
      <c r="FH196" s="219"/>
      <c r="FI196" s="219"/>
      <c r="FJ196" s="219"/>
      <c r="FK196" s="219"/>
      <c r="FL196" s="219"/>
      <c r="FM196" s="219"/>
      <c r="FN196" s="219"/>
      <c r="FO196" s="219"/>
      <c r="FP196" s="219"/>
      <c r="FQ196" s="219"/>
      <c r="FR196" s="219"/>
      <c r="FS196" s="219"/>
      <c r="FT196" s="219"/>
      <c r="FU196" s="219"/>
      <c r="FV196" s="219"/>
      <c r="FW196" s="219"/>
      <c r="FX196" s="219" t="s">
        <v>1939</v>
      </c>
      <c r="FY196" s="219"/>
      <c r="FZ196" s="219"/>
      <c r="GA196" s="219"/>
      <c r="GB196" s="219"/>
      <c r="GC196" s="219"/>
      <c r="GD196" s="219"/>
      <c r="GE196" s="219"/>
      <c r="GF196" s="219"/>
      <c r="GG196" s="219"/>
      <c r="GH196" s="219"/>
      <c r="GI196" s="219"/>
      <c r="GJ196" s="219"/>
      <c r="GK196" s="219"/>
      <c r="GL196" s="219"/>
      <c r="GM196" s="219"/>
      <c r="GN196" s="219"/>
      <c r="GO196" s="219"/>
      <c r="GP196" s="219"/>
      <c r="GQ196" s="219"/>
      <c r="GR196" s="219"/>
      <c r="GS196" s="219"/>
      <c r="GT196" s="219"/>
      <c r="GU196" s="219"/>
      <c r="GV196" s="219"/>
      <c r="GW196" s="219"/>
      <c r="GX196" s="219"/>
      <c r="GY196" s="219"/>
      <c r="GZ196" s="219"/>
      <c r="HA196" s="174">
        <v>4</v>
      </c>
      <c r="HB196" s="197">
        <v>193</v>
      </c>
      <c r="HC196" s="194">
        <v>117</v>
      </c>
      <c r="HD196" s="238">
        <v>141.5</v>
      </c>
      <c r="HE196" s="236">
        <v>25</v>
      </c>
      <c r="HF196" s="183">
        <v>258</v>
      </c>
      <c r="HG196" s="193">
        <f t="shared" si="187"/>
        <v>253</v>
      </c>
      <c r="HH196" s="192" t="e">
        <f t="shared" ref="HH196:HH203" si="188">HLOOKUP($B$155,$HK$1:$IK$202,$IJ195,0)</f>
        <v>#REF!</v>
      </c>
      <c r="HI196" s="198">
        <v>25</v>
      </c>
      <c r="HJ196" s="185">
        <v>186.5</v>
      </c>
      <c r="HK196" s="174">
        <v>194</v>
      </c>
      <c r="HL196" s="174">
        <f t="shared" si="157"/>
        <v>846</v>
      </c>
      <c r="HM196" s="174">
        <f t="shared" si="158"/>
        <v>836</v>
      </c>
      <c r="HN196" s="174">
        <f t="shared" si="159"/>
        <v>652</v>
      </c>
      <c r="HO196" s="174">
        <f t="shared" si="160"/>
        <v>478</v>
      </c>
      <c r="HP196" s="174">
        <f t="shared" si="161"/>
        <v>314</v>
      </c>
      <c r="HQ196" s="174">
        <f t="shared" si="162"/>
        <v>304</v>
      </c>
      <c r="HR196" s="174">
        <f t="shared" si="163"/>
        <v>304</v>
      </c>
      <c r="HS196" s="174">
        <f t="shared" si="164"/>
        <v>294</v>
      </c>
      <c r="HT196" s="174">
        <f t="shared" si="165"/>
        <v>284</v>
      </c>
      <c r="HU196" s="174">
        <f t="shared" si="166"/>
        <v>642</v>
      </c>
      <c r="HV196" s="174">
        <f t="shared" si="167"/>
        <v>304</v>
      </c>
      <c r="HW196" s="174">
        <f t="shared" si="168"/>
        <v>294</v>
      </c>
      <c r="HX196" s="174">
        <f t="shared" si="169"/>
        <v>458</v>
      </c>
      <c r="HY196" s="174">
        <f t="shared" si="170"/>
        <v>284</v>
      </c>
      <c r="HZ196" s="174">
        <f t="shared" si="171"/>
        <v>274</v>
      </c>
      <c r="IA196" s="174">
        <f t="shared" si="172"/>
        <v>264</v>
      </c>
      <c r="IB196" s="174">
        <f t="shared" si="173"/>
        <v>448</v>
      </c>
      <c r="IC196" s="174">
        <f t="shared" si="174"/>
        <v>428</v>
      </c>
      <c r="ID196" s="174">
        <f t="shared" si="175"/>
        <v>254</v>
      </c>
      <c r="IE196" s="174">
        <f t="shared" si="176"/>
        <v>418</v>
      </c>
      <c r="IF196" s="174">
        <f t="shared" si="177"/>
        <v>254</v>
      </c>
      <c r="IG196" s="174">
        <f t="shared" si="178"/>
        <v>234</v>
      </c>
      <c r="IH196" s="174">
        <f t="shared" si="179"/>
        <v>224</v>
      </c>
      <c r="II196" s="174">
        <f t="shared" si="180"/>
        <v>204</v>
      </c>
      <c r="IJ196" s="174">
        <v>196</v>
      </c>
    </row>
    <row r="197" spans="1:244" ht="13.35" customHeight="1" x14ac:dyDescent="0.2">
      <c r="A197" s="174">
        <v>51</v>
      </c>
      <c r="B197" s="174">
        <f t="shared" si="186"/>
        <v>79</v>
      </c>
      <c r="D197" s="174" t="s">
        <v>1900</v>
      </c>
      <c r="E197" s="174" t="s">
        <v>1942</v>
      </c>
      <c r="F197" s="174" t="s">
        <v>1898</v>
      </c>
      <c r="G197" s="174" t="s">
        <v>1898</v>
      </c>
      <c r="H197" s="174" t="s">
        <v>1898</v>
      </c>
      <c r="I197" s="174" t="s">
        <v>1898</v>
      </c>
      <c r="J197" s="174" t="s">
        <v>1898</v>
      </c>
      <c r="K197" s="174" t="s">
        <v>1898</v>
      </c>
      <c r="L197" s="174" t="s">
        <v>1898</v>
      </c>
      <c r="M197" s="174" t="s">
        <v>1886</v>
      </c>
      <c r="N197" s="174" t="s">
        <v>1886</v>
      </c>
      <c r="O197" s="174" t="s">
        <v>1898</v>
      </c>
      <c r="P197" s="174" t="s">
        <v>1898</v>
      </c>
      <c r="Q197" s="174" t="s">
        <v>1886</v>
      </c>
      <c r="R197" s="174" t="s">
        <v>1898</v>
      </c>
      <c r="S197" s="174" t="s">
        <v>1886</v>
      </c>
      <c r="T197" s="174" t="s">
        <v>1886</v>
      </c>
      <c r="U197" s="174" t="s">
        <v>1886</v>
      </c>
      <c r="V197" s="174" t="s">
        <v>1898</v>
      </c>
      <c r="W197" s="174" t="s">
        <v>1898</v>
      </c>
      <c r="X197" s="174" t="s">
        <v>1898</v>
      </c>
      <c r="Y197" s="174" t="s">
        <v>1898</v>
      </c>
      <c r="AA197" s="174" t="s">
        <v>1898</v>
      </c>
      <c r="AB197" s="174" t="s">
        <v>1898</v>
      </c>
      <c r="AC197" s="174" t="s">
        <v>1898</v>
      </c>
      <c r="AD197" s="174" t="s">
        <v>1898</v>
      </c>
      <c r="AF197" s="174" t="s">
        <v>1886</v>
      </c>
      <c r="AG197" s="174" t="s">
        <v>1898</v>
      </c>
      <c r="AH197" s="174" t="s">
        <v>1898</v>
      </c>
      <c r="AJ197" s="174" t="s">
        <v>1898</v>
      </c>
      <c r="AK197" s="174" t="s">
        <v>1898</v>
      </c>
      <c r="AL197" s="174" t="s">
        <v>1898</v>
      </c>
      <c r="AM197" s="174" t="s">
        <v>1886</v>
      </c>
      <c r="AO197" s="174" t="s">
        <v>1886</v>
      </c>
      <c r="AP197" s="174" t="s">
        <v>1886</v>
      </c>
      <c r="AQ197" s="174" t="s">
        <v>1886</v>
      </c>
      <c r="CS197" s="174" t="s">
        <v>1898</v>
      </c>
      <c r="CT197" s="174" t="s">
        <v>1898</v>
      </c>
      <c r="CU197" s="174" t="s">
        <v>1898</v>
      </c>
      <c r="CV197" s="174" t="s">
        <v>1898</v>
      </c>
      <c r="DF197" s="174">
        <v>22</v>
      </c>
      <c r="EN197" s="174" t="s">
        <v>1943</v>
      </c>
      <c r="EO197" s="268" t="s">
        <v>4193</v>
      </c>
      <c r="EP197" s="268" t="s">
        <v>916</v>
      </c>
      <c r="EQ197" s="268" t="s">
        <v>916</v>
      </c>
      <c r="ER197" s="268" t="s">
        <v>895</v>
      </c>
      <c r="ES197" s="268" t="s">
        <v>895</v>
      </c>
      <c r="ET197" s="268" t="s">
        <v>895</v>
      </c>
      <c r="EU197" s="268" t="s">
        <v>4055</v>
      </c>
      <c r="EV197" s="268" t="s">
        <v>4055</v>
      </c>
      <c r="EW197" s="268" t="s">
        <v>4055</v>
      </c>
      <c r="EX197" s="268" t="s">
        <v>4055</v>
      </c>
      <c r="EY197" s="268" t="s">
        <v>4055</v>
      </c>
      <c r="EZ197" s="268" t="s">
        <v>4055</v>
      </c>
      <c r="FA197" s="268" t="s">
        <v>4184</v>
      </c>
      <c r="FB197" s="268" t="s">
        <v>4184</v>
      </c>
      <c r="FC197" s="268" t="s">
        <v>4184</v>
      </c>
      <c r="FD197" s="268" t="s">
        <v>905</v>
      </c>
      <c r="FE197" s="268" t="s">
        <v>905</v>
      </c>
      <c r="FF197" s="268" t="s">
        <v>905</v>
      </c>
      <c r="FG197" s="268" t="s">
        <v>4186</v>
      </c>
      <c r="FH197" s="268" t="s">
        <v>4186</v>
      </c>
      <c r="FI197" s="268" t="s">
        <v>4186</v>
      </c>
      <c r="FJ197" s="268" t="s">
        <v>4186</v>
      </c>
      <c r="FK197" s="268" t="s">
        <v>4186</v>
      </c>
      <c r="FL197" s="268" t="s">
        <v>4186</v>
      </c>
      <c r="FM197" s="268" t="s">
        <v>4186</v>
      </c>
      <c r="FN197" s="268" t="s">
        <v>4186</v>
      </c>
      <c r="FO197" s="268" t="s">
        <v>4186</v>
      </c>
      <c r="FP197" s="268" t="s">
        <v>4186</v>
      </c>
      <c r="FQ197" s="268" t="s">
        <v>4186</v>
      </c>
      <c r="FR197" s="268" t="s">
        <v>4186</v>
      </c>
      <c r="FS197" s="268" t="s">
        <v>4186</v>
      </c>
      <c r="FT197" s="268" t="s">
        <v>4186</v>
      </c>
      <c r="FU197" s="268" t="s">
        <v>4186</v>
      </c>
      <c r="FV197" s="268" t="s">
        <v>4186</v>
      </c>
      <c r="FW197" s="268" t="s">
        <v>4186</v>
      </c>
      <c r="FX197" s="268" t="s">
        <v>4186</v>
      </c>
      <c r="FY197" s="268" t="s">
        <v>1013</v>
      </c>
      <c r="FZ197" s="268" t="s">
        <v>1013</v>
      </c>
      <c r="GA197" s="185"/>
      <c r="GB197" s="185"/>
      <c r="GC197" s="185"/>
      <c r="GE197" s="185"/>
      <c r="GF197" s="185"/>
      <c r="GG197" s="185"/>
      <c r="GH197" s="185"/>
      <c r="GI197" s="185"/>
      <c r="GJ197" s="185"/>
      <c r="GK197" s="185"/>
      <c r="GL197" s="185"/>
      <c r="GM197" s="185"/>
      <c r="GN197" s="185"/>
      <c r="GO197" s="185"/>
      <c r="GP197" s="185"/>
      <c r="GQ197" s="185"/>
      <c r="HB197" s="197">
        <v>194</v>
      </c>
      <c r="HC197" s="194">
        <v>117</v>
      </c>
      <c r="HD197" s="238">
        <v>142</v>
      </c>
      <c r="HE197" s="236">
        <v>25</v>
      </c>
      <c r="HF197" s="183">
        <v>259</v>
      </c>
      <c r="HG197" s="193">
        <f t="shared" si="187"/>
        <v>254</v>
      </c>
      <c r="HH197" s="192" t="e">
        <f t="shared" si="188"/>
        <v>#REF!</v>
      </c>
      <c r="HI197" s="198">
        <v>25</v>
      </c>
      <c r="HJ197" s="185">
        <v>187</v>
      </c>
      <c r="HK197" s="174">
        <v>195</v>
      </c>
      <c r="HL197" s="174">
        <f t="shared" si="157"/>
        <v>850</v>
      </c>
      <c r="HM197" s="174">
        <f t="shared" si="158"/>
        <v>840</v>
      </c>
      <c r="HN197" s="174">
        <f t="shared" si="159"/>
        <v>655</v>
      </c>
      <c r="HO197" s="174">
        <f t="shared" si="160"/>
        <v>480</v>
      </c>
      <c r="HP197" s="174">
        <f t="shared" si="161"/>
        <v>315</v>
      </c>
      <c r="HQ197" s="174">
        <f t="shared" si="162"/>
        <v>305</v>
      </c>
      <c r="HR197" s="174">
        <f t="shared" si="163"/>
        <v>305</v>
      </c>
      <c r="HS197" s="174">
        <f t="shared" si="164"/>
        <v>295</v>
      </c>
      <c r="HT197" s="174">
        <f t="shared" si="165"/>
        <v>285</v>
      </c>
      <c r="HU197" s="174">
        <f t="shared" si="166"/>
        <v>645</v>
      </c>
      <c r="HV197" s="174">
        <f t="shared" si="167"/>
        <v>305</v>
      </c>
      <c r="HW197" s="174">
        <f t="shared" si="168"/>
        <v>295</v>
      </c>
      <c r="HX197" s="174">
        <f t="shared" si="169"/>
        <v>460</v>
      </c>
      <c r="HY197" s="174">
        <f t="shared" si="170"/>
        <v>285</v>
      </c>
      <c r="HZ197" s="174">
        <f t="shared" si="171"/>
        <v>275</v>
      </c>
      <c r="IA197" s="174">
        <f t="shared" si="172"/>
        <v>265</v>
      </c>
      <c r="IB197" s="174">
        <f t="shared" si="173"/>
        <v>450</v>
      </c>
      <c r="IC197" s="174">
        <f t="shared" si="174"/>
        <v>430</v>
      </c>
      <c r="ID197" s="174">
        <f t="shared" si="175"/>
        <v>255</v>
      </c>
      <c r="IE197" s="174">
        <f t="shared" si="176"/>
        <v>420</v>
      </c>
      <c r="IF197" s="174">
        <f t="shared" si="177"/>
        <v>255</v>
      </c>
      <c r="IG197" s="174">
        <f t="shared" si="178"/>
        <v>235</v>
      </c>
      <c r="IH197" s="174">
        <f t="shared" si="179"/>
        <v>225</v>
      </c>
      <c r="II197" s="174">
        <f t="shared" si="180"/>
        <v>205</v>
      </c>
      <c r="IJ197" s="174">
        <v>197</v>
      </c>
    </row>
    <row r="198" spans="1:244" ht="13.35" customHeight="1" x14ac:dyDescent="0.2">
      <c r="A198" s="174">
        <v>52</v>
      </c>
      <c r="B198" s="174">
        <f t="shared" si="186"/>
        <v>80</v>
      </c>
      <c r="D198" s="174" t="s">
        <v>1889</v>
      </c>
      <c r="E198" s="174" t="s">
        <v>1931</v>
      </c>
      <c r="F198" s="174" t="s">
        <v>1886</v>
      </c>
      <c r="G198" s="174" t="s">
        <v>1886</v>
      </c>
      <c r="H198" s="174" t="s">
        <v>1886</v>
      </c>
      <c r="I198" s="174" t="s">
        <v>1886</v>
      </c>
      <c r="J198" s="174" t="s">
        <v>1886</v>
      </c>
      <c r="K198" s="174" t="s">
        <v>1886</v>
      </c>
      <c r="L198" s="174" t="s">
        <v>1886</v>
      </c>
      <c r="O198" s="174" t="s">
        <v>1886</v>
      </c>
      <c r="P198" s="174" t="s">
        <v>1886</v>
      </c>
      <c r="R198" s="174" t="s">
        <v>1886</v>
      </c>
      <c r="V198" s="174" t="s">
        <v>1886</v>
      </c>
      <c r="W198" s="174" t="s">
        <v>1886</v>
      </c>
      <c r="X198" s="174" t="s">
        <v>1886</v>
      </c>
      <c r="Y198" s="174" t="s">
        <v>1886</v>
      </c>
      <c r="AA198" s="174" t="s">
        <v>1886</v>
      </c>
      <c r="AB198" s="174" t="s">
        <v>1886</v>
      </c>
      <c r="AC198" s="174" t="s">
        <v>1886</v>
      </c>
      <c r="AD198" s="174" t="s">
        <v>1886</v>
      </c>
      <c r="AG198" s="174" t="s">
        <v>1886</v>
      </c>
      <c r="AH198" s="174" t="s">
        <v>1886</v>
      </c>
      <c r="AJ198" s="174" t="s">
        <v>1886</v>
      </c>
      <c r="AK198" s="174" t="s">
        <v>1886</v>
      </c>
      <c r="AL198" s="174" t="s">
        <v>1886</v>
      </c>
      <c r="CS198" s="174" t="s">
        <v>1886</v>
      </c>
      <c r="CT198" s="174" t="s">
        <v>1886</v>
      </c>
      <c r="CU198" s="174" t="s">
        <v>1886</v>
      </c>
      <c r="CV198" s="174" t="s">
        <v>1886</v>
      </c>
      <c r="DF198" s="174">
        <v>23</v>
      </c>
      <c r="EO198" s="268" t="s">
        <v>4193</v>
      </c>
      <c r="EP198" s="268" t="s">
        <v>977</v>
      </c>
      <c r="EQ198" s="268" t="s">
        <v>976</v>
      </c>
      <c r="ER198" s="268" t="s">
        <v>4360</v>
      </c>
      <c r="ES198" s="268" t="s">
        <v>4359</v>
      </c>
      <c r="ET198" s="268" t="s">
        <v>4364</v>
      </c>
      <c r="EU198" s="268" t="s">
        <v>4181</v>
      </c>
      <c r="EV198" s="268" t="s">
        <v>899</v>
      </c>
      <c r="EW198" s="268" t="s">
        <v>4172</v>
      </c>
      <c r="EX198" s="268" t="s">
        <v>4171</v>
      </c>
      <c r="EY198" s="268" t="s">
        <v>4180</v>
      </c>
      <c r="EZ198" s="268" t="s">
        <v>4173</v>
      </c>
      <c r="FA198" s="268" t="s">
        <v>4183</v>
      </c>
      <c r="FB198" s="268" t="s">
        <v>4349</v>
      </c>
      <c r="FC198" s="268" t="s">
        <v>4185</v>
      </c>
      <c r="FD198" s="268" t="s">
        <v>4361</v>
      </c>
      <c r="FE198" s="268" t="s">
        <v>4393</v>
      </c>
      <c r="FF198" s="268" t="s">
        <v>4371</v>
      </c>
      <c r="FG198" s="268" t="s">
        <v>4269</v>
      </c>
      <c r="FH198" s="268" t="s">
        <v>4197</v>
      </c>
      <c r="FI198" s="268" t="s">
        <v>4187</v>
      </c>
      <c r="FJ198" s="268" t="s">
        <v>4188</v>
      </c>
      <c r="FK198" s="268" t="s">
        <v>4195</v>
      </c>
      <c r="FL198" s="268" t="s">
        <v>4198</v>
      </c>
      <c r="FM198" s="268" t="s">
        <v>4199</v>
      </c>
      <c r="FN198" s="268" t="s">
        <v>4200</v>
      </c>
      <c r="FO198" s="268" t="s">
        <v>4189</v>
      </c>
      <c r="FP198" s="268" t="s">
        <v>4388</v>
      </c>
      <c r="FQ198" s="268" t="s">
        <v>4190</v>
      </c>
      <c r="FR198" s="268" t="s">
        <v>4201</v>
      </c>
      <c r="FS198" s="268" t="s">
        <v>4191</v>
      </c>
      <c r="FT198" s="268" t="s">
        <v>4202</v>
      </c>
      <c r="FU198" s="268" t="s">
        <v>4192</v>
      </c>
      <c r="FV198" s="268" t="s">
        <v>4203</v>
      </c>
      <c r="FW198" s="268" t="s">
        <v>4377</v>
      </c>
      <c r="FX198" s="268" t="s">
        <v>4204</v>
      </c>
      <c r="FY198" s="268" t="s">
        <v>913</v>
      </c>
      <c r="FZ198" s="268" t="s">
        <v>1058</v>
      </c>
      <c r="GA198" s="185"/>
      <c r="GB198" s="185"/>
      <c r="GC198" s="185"/>
      <c r="GE198" s="185"/>
      <c r="GF198" s="185"/>
      <c r="GG198" s="185"/>
      <c r="GH198" s="185"/>
      <c r="GI198" s="185"/>
      <c r="GJ198" s="185"/>
      <c r="GK198" s="185"/>
      <c r="GL198" s="185"/>
      <c r="GM198" s="185"/>
      <c r="GN198" s="185"/>
      <c r="GO198" s="185"/>
      <c r="GP198" s="185"/>
      <c r="GQ198" s="185"/>
      <c r="HA198" s="174">
        <v>1</v>
      </c>
      <c r="HB198" s="197">
        <v>195</v>
      </c>
      <c r="HC198" s="194">
        <v>118</v>
      </c>
      <c r="HD198" s="238">
        <v>142.5</v>
      </c>
      <c r="HE198" s="236">
        <v>25</v>
      </c>
      <c r="HF198" s="183">
        <v>260</v>
      </c>
      <c r="HG198" s="193">
        <f t="shared" si="187"/>
        <v>255</v>
      </c>
      <c r="HH198" s="192" t="e">
        <f t="shared" si="188"/>
        <v>#REF!</v>
      </c>
      <c r="HI198" s="198">
        <v>25</v>
      </c>
      <c r="HJ198" s="185">
        <v>187.5</v>
      </c>
      <c r="HK198" s="174">
        <v>196</v>
      </c>
      <c r="HL198" s="174">
        <f t="shared" si="157"/>
        <v>854</v>
      </c>
      <c r="HM198" s="174">
        <f t="shared" si="158"/>
        <v>844</v>
      </c>
      <c r="HN198" s="174">
        <f t="shared" si="159"/>
        <v>658</v>
      </c>
      <c r="HO198" s="174">
        <f t="shared" si="160"/>
        <v>482</v>
      </c>
      <c r="HP198" s="174">
        <f t="shared" si="161"/>
        <v>316</v>
      </c>
      <c r="HQ198" s="174">
        <f t="shared" si="162"/>
        <v>306</v>
      </c>
      <c r="HR198" s="174">
        <f t="shared" si="163"/>
        <v>306</v>
      </c>
      <c r="HS198" s="174">
        <f t="shared" si="164"/>
        <v>296</v>
      </c>
      <c r="HT198" s="174">
        <f t="shared" si="165"/>
        <v>286</v>
      </c>
      <c r="HU198" s="174">
        <f t="shared" si="166"/>
        <v>648</v>
      </c>
      <c r="HV198" s="174">
        <f t="shared" si="167"/>
        <v>306</v>
      </c>
      <c r="HW198" s="174">
        <f t="shared" si="168"/>
        <v>296</v>
      </c>
      <c r="HX198" s="174">
        <f t="shared" si="169"/>
        <v>462</v>
      </c>
      <c r="HY198" s="174">
        <f t="shared" si="170"/>
        <v>286</v>
      </c>
      <c r="HZ198" s="174">
        <f t="shared" si="171"/>
        <v>276</v>
      </c>
      <c r="IA198" s="174">
        <f t="shared" si="172"/>
        <v>266</v>
      </c>
      <c r="IB198" s="174">
        <f t="shared" si="173"/>
        <v>452</v>
      </c>
      <c r="IC198" s="174">
        <f t="shared" si="174"/>
        <v>432</v>
      </c>
      <c r="ID198" s="174">
        <f t="shared" si="175"/>
        <v>256</v>
      </c>
      <c r="IE198" s="174">
        <f t="shared" si="176"/>
        <v>422</v>
      </c>
      <c r="IF198" s="174">
        <f t="shared" si="177"/>
        <v>256</v>
      </c>
      <c r="IG198" s="174">
        <f t="shared" si="178"/>
        <v>236</v>
      </c>
      <c r="IH198" s="174">
        <f t="shared" si="179"/>
        <v>226</v>
      </c>
      <c r="II198" s="174">
        <f t="shared" si="180"/>
        <v>206</v>
      </c>
      <c r="IJ198" s="174">
        <v>198</v>
      </c>
    </row>
    <row r="199" spans="1:244" ht="13.35" customHeight="1" x14ac:dyDescent="0.2">
      <c r="A199" s="174">
        <v>53</v>
      </c>
      <c r="B199" s="174">
        <f t="shared" si="186"/>
        <v>81</v>
      </c>
      <c r="EO199" s="174" t="s">
        <v>1916</v>
      </c>
      <c r="EP199" s="174" t="s">
        <v>1916</v>
      </c>
      <c r="EQ199" s="174" t="s">
        <v>1916</v>
      </c>
      <c r="ER199" s="174" t="s">
        <v>1915</v>
      </c>
      <c r="ES199" s="174" t="s">
        <v>1913</v>
      </c>
      <c r="ET199" s="174" t="s">
        <v>1935</v>
      </c>
      <c r="EU199" s="174" t="s">
        <v>1908</v>
      </c>
      <c r="EW199" s="174" t="s">
        <v>1935</v>
      </c>
      <c r="EX199" s="174" t="s">
        <v>1915</v>
      </c>
      <c r="EY199" s="174" t="s">
        <v>1935</v>
      </c>
      <c r="EZ199" s="174" t="s">
        <v>1935</v>
      </c>
      <c r="FA199" s="174" t="s">
        <v>4285</v>
      </c>
      <c r="FB199" s="174" t="s">
        <v>1908</v>
      </c>
      <c r="FC199" s="174" t="s">
        <v>1953</v>
      </c>
      <c r="FD199" s="174" t="s">
        <v>1913</v>
      </c>
      <c r="FE199" s="174" t="s">
        <v>1913</v>
      </c>
      <c r="FF199" s="174" t="s">
        <v>1913</v>
      </c>
      <c r="FG199" s="174" t="s">
        <v>1915</v>
      </c>
      <c r="FH199" s="174" t="s">
        <v>1915</v>
      </c>
      <c r="FI199" s="174" t="s">
        <v>1913</v>
      </c>
      <c r="FJ199" s="174" t="s">
        <v>1913</v>
      </c>
      <c r="FK199" s="174" t="s">
        <v>1913</v>
      </c>
      <c r="FL199" s="174" t="s">
        <v>1913</v>
      </c>
      <c r="FM199" s="174" t="s">
        <v>1953</v>
      </c>
      <c r="FN199" s="174" t="s">
        <v>1908</v>
      </c>
      <c r="FO199" s="174" t="s">
        <v>1908</v>
      </c>
      <c r="FP199" s="174" t="s">
        <v>1908</v>
      </c>
      <c r="FQ199" s="174" t="s">
        <v>1913</v>
      </c>
      <c r="FR199" s="174" t="s">
        <v>1953</v>
      </c>
      <c r="FS199" s="174" t="s">
        <v>1953</v>
      </c>
      <c r="FT199" s="174" t="s">
        <v>1913</v>
      </c>
      <c r="FU199" s="174" t="s">
        <v>1908</v>
      </c>
      <c r="FV199" s="174" t="s">
        <v>1908</v>
      </c>
      <c r="FW199" s="174" t="s">
        <v>1941</v>
      </c>
      <c r="FX199" s="174" t="s">
        <v>1908</v>
      </c>
      <c r="FY199" s="174" t="s">
        <v>1915</v>
      </c>
      <c r="FZ199" s="174" t="s">
        <v>1915</v>
      </c>
      <c r="HA199" s="174">
        <v>2</v>
      </c>
      <c r="HB199" s="197">
        <v>196</v>
      </c>
      <c r="HC199" s="194">
        <v>118</v>
      </c>
      <c r="HD199" s="238">
        <v>143</v>
      </c>
      <c r="HE199" s="236">
        <v>25</v>
      </c>
      <c r="HF199" s="183">
        <v>261</v>
      </c>
      <c r="HG199" s="193">
        <f t="shared" si="187"/>
        <v>256</v>
      </c>
      <c r="HH199" s="192" t="e">
        <f t="shared" si="188"/>
        <v>#REF!</v>
      </c>
      <c r="HI199" s="198">
        <v>25</v>
      </c>
      <c r="HJ199" s="185">
        <v>188</v>
      </c>
      <c r="HK199" s="174">
        <v>197</v>
      </c>
      <c r="HL199" s="174">
        <f t="shared" si="157"/>
        <v>858</v>
      </c>
      <c r="HM199" s="174">
        <f t="shared" si="158"/>
        <v>848</v>
      </c>
      <c r="HN199" s="174">
        <f t="shared" si="159"/>
        <v>661</v>
      </c>
      <c r="HO199" s="174">
        <f t="shared" si="160"/>
        <v>484</v>
      </c>
      <c r="HP199" s="174">
        <f t="shared" si="161"/>
        <v>317</v>
      </c>
      <c r="HQ199" s="174">
        <f t="shared" si="162"/>
        <v>307</v>
      </c>
      <c r="HR199" s="174">
        <f t="shared" si="163"/>
        <v>307</v>
      </c>
      <c r="HS199" s="174">
        <f t="shared" si="164"/>
        <v>297</v>
      </c>
      <c r="HT199" s="174">
        <f t="shared" si="165"/>
        <v>287</v>
      </c>
      <c r="HU199" s="174">
        <f t="shared" si="166"/>
        <v>651</v>
      </c>
      <c r="HV199" s="174">
        <f t="shared" si="167"/>
        <v>307</v>
      </c>
      <c r="HW199" s="174">
        <f t="shared" si="168"/>
        <v>297</v>
      </c>
      <c r="HX199" s="174">
        <f t="shared" si="169"/>
        <v>464</v>
      </c>
      <c r="HY199" s="174">
        <f t="shared" si="170"/>
        <v>287</v>
      </c>
      <c r="HZ199" s="174">
        <f t="shared" si="171"/>
        <v>277</v>
      </c>
      <c r="IA199" s="174">
        <f t="shared" si="172"/>
        <v>267</v>
      </c>
      <c r="IB199" s="174">
        <f t="shared" si="173"/>
        <v>454</v>
      </c>
      <c r="IC199" s="174">
        <f t="shared" si="174"/>
        <v>434</v>
      </c>
      <c r="ID199" s="174">
        <f t="shared" si="175"/>
        <v>257</v>
      </c>
      <c r="IE199" s="174">
        <f t="shared" si="176"/>
        <v>424</v>
      </c>
      <c r="IF199" s="174">
        <f t="shared" si="177"/>
        <v>257</v>
      </c>
      <c r="IG199" s="174">
        <f t="shared" si="178"/>
        <v>237</v>
      </c>
      <c r="IH199" s="174">
        <f t="shared" si="179"/>
        <v>227</v>
      </c>
      <c r="II199" s="174">
        <f t="shared" si="180"/>
        <v>207</v>
      </c>
      <c r="IJ199" s="174">
        <v>199</v>
      </c>
    </row>
    <row r="200" spans="1:244" ht="13.35" customHeight="1" x14ac:dyDescent="0.2">
      <c r="A200" s="174">
        <v>54</v>
      </c>
      <c r="B200" s="174">
        <f t="shared" si="186"/>
        <v>82</v>
      </c>
      <c r="EO200" s="174" t="s">
        <v>356</v>
      </c>
      <c r="EP200" s="174" t="s">
        <v>1949</v>
      </c>
      <c r="EQ200" s="174" t="s">
        <v>1949</v>
      </c>
      <c r="ES200" s="174" t="s">
        <v>1945</v>
      </c>
      <c r="ET200" s="174" t="s">
        <v>1945</v>
      </c>
      <c r="EU200" s="174" t="s">
        <v>1935</v>
      </c>
      <c r="EW200" s="174" t="s">
        <v>1908</v>
      </c>
      <c r="EX200" s="174" t="s">
        <v>359</v>
      </c>
      <c r="EY200" s="174" t="s">
        <v>1913</v>
      </c>
      <c r="EZ200" s="174" t="s">
        <v>1913</v>
      </c>
      <c r="FA200" s="174" t="s">
        <v>1915</v>
      </c>
      <c r="FB200" s="174" t="s">
        <v>1913</v>
      </c>
      <c r="FC200" s="174" t="s">
        <v>1913</v>
      </c>
      <c r="FE200" s="174" t="s">
        <v>1915</v>
      </c>
      <c r="FF200" s="174" t="s">
        <v>1915</v>
      </c>
      <c r="FG200" s="174" t="s">
        <v>1913</v>
      </c>
      <c r="FH200" s="174" t="s">
        <v>1913</v>
      </c>
      <c r="FJ200" s="174" t="s">
        <v>1935</v>
      </c>
      <c r="FL200" s="174" t="s">
        <v>1908</v>
      </c>
      <c r="FN200" s="174" t="s">
        <v>1913</v>
      </c>
      <c r="FO200" s="174" t="s">
        <v>4285</v>
      </c>
      <c r="FP200" s="174" t="s">
        <v>1935</v>
      </c>
      <c r="FQ200" s="174" t="s">
        <v>1945</v>
      </c>
      <c r="FT200" s="174" t="s">
        <v>1935</v>
      </c>
      <c r="FU200" s="174" t="s">
        <v>1913</v>
      </c>
      <c r="FV200" s="174" t="s">
        <v>1913</v>
      </c>
      <c r="FX200" s="174" t="s">
        <v>1913</v>
      </c>
      <c r="FY200" s="174" t="s">
        <v>1948</v>
      </c>
      <c r="FZ200" s="174" t="s">
        <v>1913</v>
      </c>
      <c r="HA200" s="174">
        <v>3</v>
      </c>
      <c r="HB200" s="197">
        <v>197</v>
      </c>
      <c r="HC200" s="194">
        <v>119</v>
      </c>
      <c r="HD200" s="238">
        <v>143.5</v>
      </c>
      <c r="HE200" s="236">
        <v>25</v>
      </c>
      <c r="HF200" s="183">
        <v>262</v>
      </c>
      <c r="HG200" s="193">
        <f t="shared" si="187"/>
        <v>257</v>
      </c>
      <c r="HH200" s="192" t="e">
        <f t="shared" si="188"/>
        <v>#REF!</v>
      </c>
      <c r="HI200" s="198">
        <v>25</v>
      </c>
      <c r="HJ200" s="185">
        <v>188.5</v>
      </c>
      <c r="HK200" s="174">
        <v>198</v>
      </c>
      <c r="HL200" s="174">
        <f t="shared" si="157"/>
        <v>862</v>
      </c>
      <c r="HM200" s="174">
        <f t="shared" si="158"/>
        <v>852</v>
      </c>
      <c r="HN200" s="174">
        <f t="shared" si="159"/>
        <v>664</v>
      </c>
      <c r="HO200" s="174">
        <f t="shared" si="160"/>
        <v>486</v>
      </c>
      <c r="HP200" s="174">
        <f t="shared" si="161"/>
        <v>318</v>
      </c>
      <c r="HQ200" s="174">
        <f t="shared" si="162"/>
        <v>308</v>
      </c>
      <c r="HR200" s="174">
        <f t="shared" si="163"/>
        <v>308</v>
      </c>
      <c r="HS200" s="174">
        <f t="shared" si="164"/>
        <v>298</v>
      </c>
      <c r="HT200" s="174">
        <f t="shared" si="165"/>
        <v>288</v>
      </c>
      <c r="HU200" s="174">
        <f t="shared" si="166"/>
        <v>654</v>
      </c>
      <c r="HV200" s="174">
        <f t="shared" si="167"/>
        <v>308</v>
      </c>
      <c r="HW200" s="174">
        <f t="shared" si="168"/>
        <v>298</v>
      </c>
      <c r="HX200" s="174">
        <f t="shared" si="169"/>
        <v>466</v>
      </c>
      <c r="HY200" s="174">
        <f t="shared" si="170"/>
        <v>288</v>
      </c>
      <c r="HZ200" s="174">
        <f t="shared" si="171"/>
        <v>278</v>
      </c>
      <c r="IA200" s="174">
        <f t="shared" si="172"/>
        <v>268</v>
      </c>
      <c r="IB200" s="174">
        <f t="shared" si="173"/>
        <v>456</v>
      </c>
      <c r="IC200" s="174">
        <f t="shared" si="174"/>
        <v>436</v>
      </c>
      <c r="ID200" s="174">
        <f t="shared" si="175"/>
        <v>258</v>
      </c>
      <c r="IE200" s="174">
        <f t="shared" si="176"/>
        <v>426</v>
      </c>
      <c r="IF200" s="174">
        <f t="shared" si="177"/>
        <v>258</v>
      </c>
      <c r="IG200" s="174">
        <f t="shared" si="178"/>
        <v>238</v>
      </c>
      <c r="IH200" s="174">
        <f t="shared" si="179"/>
        <v>228</v>
      </c>
      <c r="II200" s="174">
        <f t="shared" si="180"/>
        <v>208</v>
      </c>
      <c r="IJ200" s="174">
        <v>200</v>
      </c>
    </row>
    <row r="201" spans="1:244" ht="13.35" customHeight="1" x14ac:dyDescent="0.2">
      <c r="A201" s="174">
        <v>55</v>
      </c>
      <c r="B201" s="174">
        <f t="shared" ref="B201:B210" si="189">A201+22</f>
        <v>77</v>
      </c>
      <c r="E201" s="207"/>
      <c r="EO201" s="219"/>
      <c r="EP201" s="219" t="s">
        <v>1950</v>
      </c>
      <c r="EQ201" s="219" t="s">
        <v>1950</v>
      </c>
      <c r="ER201" s="219"/>
      <c r="ES201" s="219"/>
      <c r="ET201" s="219" t="s">
        <v>4308</v>
      </c>
      <c r="EU201" s="219" t="s">
        <v>1913</v>
      </c>
      <c r="EV201" s="219"/>
      <c r="EW201" s="219"/>
      <c r="EX201" s="219" t="s">
        <v>356</v>
      </c>
      <c r="EY201" s="219"/>
      <c r="EZ201" s="219" t="s">
        <v>1945</v>
      </c>
      <c r="FA201" s="219"/>
      <c r="FB201" s="219"/>
      <c r="FC201" s="219" t="s">
        <v>1945</v>
      </c>
      <c r="FD201" s="219"/>
      <c r="FE201" s="219"/>
      <c r="FF201" s="219"/>
      <c r="FG201" s="219"/>
      <c r="FH201" s="219"/>
      <c r="FI201" s="219"/>
      <c r="FJ201" s="219"/>
      <c r="FK201" s="219"/>
      <c r="FL201" s="219" t="s">
        <v>1935</v>
      </c>
      <c r="FM201" s="219"/>
      <c r="FN201" s="219"/>
      <c r="FO201" s="219"/>
      <c r="FP201" s="219"/>
      <c r="FQ201" s="219"/>
      <c r="FR201" s="219"/>
      <c r="FS201" s="219"/>
      <c r="FT201" s="219"/>
      <c r="FU201" s="219" t="s">
        <v>1935</v>
      </c>
      <c r="FV201" s="219"/>
      <c r="FW201" s="219"/>
      <c r="FX201" s="219" t="s">
        <v>1935</v>
      </c>
      <c r="FY201" s="219"/>
      <c r="FZ201" s="219"/>
      <c r="GA201" s="219"/>
      <c r="GB201" s="219"/>
      <c r="GC201" s="219"/>
      <c r="GD201" s="219"/>
      <c r="GE201" s="219"/>
      <c r="GF201" s="219"/>
      <c r="GG201" s="219"/>
      <c r="GH201" s="219"/>
      <c r="GI201" s="219"/>
      <c r="GJ201" s="219"/>
      <c r="GK201" s="219"/>
      <c r="GL201" s="219"/>
      <c r="GM201" s="219"/>
      <c r="GN201" s="219"/>
      <c r="GO201" s="219"/>
      <c r="GP201" s="219"/>
      <c r="GQ201" s="219"/>
      <c r="GR201" s="219"/>
      <c r="GS201" s="219"/>
      <c r="GT201" s="219"/>
      <c r="GU201" s="219"/>
      <c r="GV201" s="219"/>
      <c r="GW201" s="219"/>
      <c r="GX201" s="219"/>
      <c r="GY201" s="219"/>
      <c r="GZ201" s="219"/>
      <c r="HA201" s="174">
        <v>4</v>
      </c>
      <c r="HB201" s="197">
        <v>198</v>
      </c>
      <c r="HC201" s="194">
        <v>119</v>
      </c>
      <c r="HD201" s="238">
        <v>144</v>
      </c>
      <c r="HE201" s="236">
        <v>25</v>
      </c>
      <c r="HF201" s="183">
        <v>263</v>
      </c>
      <c r="HG201" s="193">
        <f t="shared" si="187"/>
        <v>258</v>
      </c>
      <c r="HH201" s="192" t="e">
        <f t="shared" si="188"/>
        <v>#REF!</v>
      </c>
      <c r="HI201" s="198">
        <v>25</v>
      </c>
      <c r="HJ201" s="185">
        <v>189</v>
      </c>
      <c r="HK201" s="174">
        <v>199</v>
      </c>
      <c r="HL201" s="174">
        <f t="shared" si="157"/>
        <v>866</v>
      </c>
      <c r="HM201" s="174">
        <f t="shared" si="158"/>
        <v>856</v>
      </c>
      <c r="HN201" s="174">
        <f t="shared" si="159"/>
        <v>667</v>
      </c>
      <c r="HO201" s="174">
        <f t="shared" si="160"/>
        <v>488</v>
      </c>
      <c r="HP201" s="174">
        <f t="shared" si="161"/>
        <v>319</v>
      </c>
      <c r="HQ201" s="174">
        <f t="shared" si="162"/>
        <v>309</v>
      </c>
      <c r="HR201" s="174">
        <f t="shared" si="163"/>
        <v>309</v>
      </c>
      <c r="HS201" s="174">
        <f t="shared" si="164"/>
        <v>299</v>
      </c>
      <c r="HT201" s="174">
        <f t="shared" si="165"/>
        <v>289</v>
      </c>
      <c r="HU201" s="174">
        <f t="shared" si="166"/>
        <v>657</v>
      </c>
      <c r="HV201" s="174">
        <f t="shared" si="167"/>
        <v>309</v>
      </c>
      <c r="HW201" s="174">
        <f t="shared" si="168"/>
        <v>299</v>
      </c>
      <c r="HX201" s="174">
        <f t="shared" si="169"/>
        <v>468</v>
      </c>
      <c r="HY201" s="174">
        <f t="shared" si="170"/>
        <v>289</v>
      </c>
      <c r="HZ201" s="174">
        <f t="shared" si="171"/>
        <v>279</v>
      </c>
      <c r="IA201" s="174">
        <f t="shared" si="172"/>
        <v>269</v>
      </c>
      <c r="IB201" s="174">
        <f t="shared" si="173"/>
        <v>458</v>
      </c>
      <c r="IC201" s="174">
        <f t="shared" si="174"/>
        <v>438</v>
      </c>
      <c r="ID201" s="174">
        <f t="shared" si="175"/>
        <v>259</v>
      </c>
      <c r="IE201" s="174">
        <f t="shared" si="176"/>
        <v>428</v>
      </c>
      <c r="IF201" s="174">
        <f t="shared" si="177"/>
        <v>259</v>
      </c>
      <c r="IG201" s="174">
        <f t="shared" si="178"/>
        <v>239</v>
      </c>
      <c r="IH201" s="174">
        <f t="shared" si="179"/>
        <v>229</v>
      </c>
      <c r="II201" s="174">
        <f t="shared" si="180"/>
        <v>209</v>
      </c>
      <c r="IJ201" s="174">
        <v>201</v>
      </c>
    </row>
    <row r="202" spans="1:244" ht="13.35" customHeight="1" x14ac:dyDescent="0.2">
      <c r="A202" s="174">
        <v>56</v>
      </c>
      <c r="B202" s="174">
        <f t="shared" si="189"/>
        <v>78</v>
      </c>
      <c r="E202" s="207"/>
      <c r="EO202" s="219"/>
      <c r="EP202" s="219" t="s">
        <v>1921</v>
      </c>
      <c r="EQ202" s="219" t="s">
        <v>1921</v>
      </c>
      <c r="ER202" s="219"/>
      <c r="ES202" s="219"/>
      <c r="ET202" s="219"/>
      <c r="EU202" s="219"/>
      <c r="EV202" s="219"/>
      <c r="EW202" s="219"/>
      <c r="EX202" s="219" t="s">
        <v>357</v>
      </c>
      <c r="EY202" s="219"/>
      <c r="EZ202" s="219"/>
      <c r="FA202" s="219"/>
      <c r="FB202" s="219"/>
      <c r="FC202" s="219"/>
      <c r="FD202" s="219"/>
      <c r="FE202" s="219"/>
      <c r="FF202" s="219"/>
      <c r="FG202" s="219"/>
      <c r="FH202" s="219"/>
      <c r="FI202" s="219"/>
      <c r="FJ202" s="219"/>
      <c r="FK202" s="219"/>
      <c r="FL202" s="219"/>
      <c r="FM202" s="219"/>
      <c r="FN202" s="219"/>
      <c r="FO202" s="219"/>
      <c r="FP202" s="219"/>
      <c r="FQ202" s="219"/>
      <c r="FR202" s="219"/>
      <c r="FS202" s="219"/>
      <c r="FT202" s="219"/>
      <c r="FU202" s="219"/>
      <c r="FV202" s="219"/>
      <c r="FW202" s="219"/>
      <c r="FX202" s="219"/>
      <c r="FY202" s="219"/>
      <c r="FZ202" s="219"/>
      <c r="GA202" s="219"/>
      <c r="GB202" s="219"/>
      <c r="GC202" s="219"/>
      <c r="GD202" s="219"/>
      <c r="GE202" s="219"/>
      <c r="GF202" s="219"/>
      <c r="GG202" s="219"/>
      <c r="GH202" s="219"/>
      <c r="GI202" s="219"/>
      <c r="GJ202" s="219"/>
      <c r="GK202" s="219"/>
      <c r="GL202" s="219"/>
      <c r="GM202" s="219"/>
      <c r="GN202" s="219"/>
      <c r="GO202" s="219"/>
      <c r="GP202" s="219"/>
      <c r="GQ202" s="219"/>
      <c r="GR202" s="219"/>
      <c r="GS202" s="219"/>
      <c r="GT202" s="219"/>
      <c r="GU202" s="219"/>
      <c r="GV202" s="219"/>
      <c r="GW202" s="219"/>
      <c r="GX202" s="219"/>
      <c r="GY202" s="219"/>
      <c r="GZ202" s="219"/>
      <c r="HA202" s="174">
        <v>5</v>
      </c>
      <c r="HB202" s="197">
        <v>199</v>
      </c>
      <c r="HC202" s="194">
        <v>120</v>
      </c>
      <c r="HD202" s="238">
        <v>144.5</v>
      </c>
      <c r="HE202" s="236">
        <v>25</v>
      </c>
      <c r="HF202" s="183">
        <v>264</v>
      </c>
      <c r="HG202" s="193">
        <f t="shared" si="187"/>
        <v>259</v>
      </c>
      <c r="HH202" s="192" t="e">
        <f t="shared" si="188"/>
        <v>#REF!</v>
      </c>
      <c r="HI202" s="198">
        <v>25</v>
      </c>
      <c r="HJ202" s="185">
        <v>189.5</v>
      </c>
      <c r="HK202" s="174">
        <v>200</v>
      </c>
      <c r="HL202" s="174">
        <f t="shared" si="157"/>
        <v>870</v>
      </c>
      <c r="HM202" s="174">
        <f t="shared" si="158"/>
        <v>860</v>
      </c>
      <c r="HN202" s="174">
        <f t="shared" si="159"/>
        <v>670</v>
      </c>
      <c r="HO202" s="174">
        <f t="shared" si="160"/>
        <v>490</v>
      </c>
      <c r="HP202" s="174">
        <f t="shared" si="161"/>
        <v>320</v>
      </c>
      <c r="HQ202" s="174">
        <f t="shared" si="162"/>
        <v>310</v>
      </c>
      <c r="HR202" s="174">
        <f t="shared" si="163"/>
        <v>310</v>
      </c>
      <c r="HS202" s="174">
        <f t="shared" si="164"/>
        <v>300</v>
      </c>
      <c r="HT202" s="174">
        <f t="shared" si="165"/>
        <v>290</v>
      </c>
      <c r="HU202" s="174">
        <f t="shared" si="166"/>
        <v>660</v>
      </c>
      <c r="HV202" s="174">
        <f t="shared" si="167"/>
        <v>310</v>
      </c>
      <c r="HW202" s="174">
        <f t="shared" si="168"/>
        <v>300</v>
      </c>
      <c r="HX202" s="174">
        <f t="shared" si="169"/>
        <v>470</v>
      </c>
      <c r="HY202" s="174">
        <f t="shared" si="170"/>
        <v>290</v>
      </c>
      <c r="HZ202" s="174">
        <f t="shared" si="171"/>
        <v>280</v>
      </c>
      <c r="IA202" s="174">
        <f t="shared" si="172"/>
        <v>270</v>
      </c>
      <c r="IB202" s="174">
        <f t="shared" si="173"/>
        <v>460</v>
      </c>
      <c r="IC202" s="174">
        <f t="shared" si="174"/>
        <v>440</v>
      </c>
      <c r="ID202" s="174">
        <f t="shared" si="175"/>
        <v>260</v>
      </c>
      <c r="IE202" s="174">
        <f t="shared" si="176"/>
        <v>430</v>
      </c>
      <c r="IF202" s="174">
        <f t="shared" si="177"/>
        <v>260</v>
      </c>
      <c r="IG202" s="174">
        <f t="shared" si="178"/>
        <v>240</v>
      </c>
      <c r="IH202" s="174">
        <f t="shared" si="179"/>
        <v>230</v>
      </c>
      <c r="II202" s="174">
        <f t="shared" si="180"/>
        <v>210</v>
      </c>
      <c r="IJ202" s="174">
        <v>202</v>
      </c>
    </row>
    <row r="203" spans="1:244" ht="13.35" customHeight="1" x14ac:dyDescent="0.2">
      <c r="A203" s="174">
        <v>57</v>
      </c>
      <c r="B203" s="174">
        <f t="shared" si="189"/>
        <v>79</v>
      </c>
      <c r="E203" s="207" t="s">
        <v>1951</v>
      </c>
      <c r="F203" s="174" t="str">
        <f>HLOOKUP(Stats!$B$5,$F$176:$DE$198,2,0)</f>
        <v>None</v>
      </c>
      <c r="EN203" s="174" t="s">
        <v>1952</v>
      </c>
      <c r="EO203" s="268" t="s">
        <v>4193</v>
      </c>
      <c r="EP203" s="268" t="s">
        <v>916</v>
      </c>
      <c r="EQ203" s="268" t="s">
        <v>916</v>
      </c>
      <c r="ER203" s="268" t="s">
        <v>895</v>
      </c>
      <c r="ES203" s="268" t="s">
        <v>895</v>
      </c>
      <c r="ET203" s="268" t="s">
        <v>895</v>
      </c>
      <c r="EU203" s="268" t="s">
        <v>4055</v>
      </c>
      <c r="EV203" s="268" t="s">
        <v>4055</v>
      </c>
      <c r="EW203" s="268" t="s">
        <v>4055</v>
      </c>
      <c r="EX203" s="268" t="s">
        <v>4055</v>
      </c>
      <c r="EY203" s="268" t="s">
        <v>4055</v>
      </c>
      <c r="EZ203" s="268" t="s">
        <v>4055</v>
      </c>
      <c r="FA203" s="268" t="s">
        <v>4184</v>
      </c>
      <c r="FB203" s="268" t="s">
        <v>4184</v>
      </c>
      <c r="FC203" s="268" t="s">
        <v>4184</v>
      </c>
      <c r="FD203" s="268" t="s">
        <v>905</v>
      </c>
      <c r="FE203" s="268" t="s">
        <v>905</v>
      </c>
      <c r="FF203" s="268" t="s">
        <v>905</v>
      </c>
      <c r="FG203" s="268" t="s">
        <v>4186</v>
      </c>
      <c r="FH203" s="268" t="s">
        <v>4186</v>
      </c>
      <c r="FI203" s="268" t="s">
        <v>4186</v>
      </c>
      <c r="FJ203" s="268" t="s">
        <v>4186</v>
      </c>
      <c r="FK203" s="268" t="s">
        <v>4186</v>
      </c>
      <c r="FL203" s="268" t="s">
        <v>4186</v>
      </c>
      <c r="FM203" s="268" t="s">
        <v>4186</v>
      </c>
      <c r="FN203" s="268" t="s">
        <v>4186</v>
      </c>
      <c r="FO203" s="268" t="s">
        <v>4186</v>
      </c>
      <c r="FP203" s="268" t="s">
        <v>4186</v>
      </c>
      <c r="FQ203" s="268" t="s">
        <v>4186</v>
      </c>
      <c r="FR203" s="268" t="s">
        <v>4186</v>
      </c>
      <c r="FS203" s="268" t="s">
        <v>4186</v>
      </c>
      <c r="FT203" s="268" t="s">
        <v>4186</v>
      </c>
      <c r="FU203" s="268" t="s">
        <v>4186</v>
      </c>
      <c r="FV203" s="268" t="s">
        <v>4186</v>
      </c>
      <c r="FW203" s="268" t="s">
        <v>4186</v>
      </c>
      <c r="FX203" s="268" t="s">
        <v>4186</v>
      </c>
      <c r="FY203" s="268" t="s">
        <v>1013</v>
      </c>
      <c r="FZ203" s="268" t="s">
        <v>1013</v>
      </c>
      <c r="GA203" s="185"/>
      <c r="GB203" s="185"/>
      <c r="GC203" s="185"/>
      <c r="GE203" s="185"/>
      <c r="GF203" s="185"/>
      <c r="GG203" s="185"/>
      <c r="GH203" s="185"/>
      <c r="GI203" s="185"/>
      <c r="GJ203" s="185"/>
      <c r="GK203" s="185"/>
      <c r="GL203" s="185"/>
      <c r="GM203" s="185"/>
      <c r="GN203" s="185"/>
      <c r="GO203" s="185"/>
      <c r="GP203" s="185"/>
      <c r="GQ203" s="185"/>
      <c r="HB203" s="197">
        <v>200</v>
      </c>
      <c r="HC203" s="194">
        <v>120</v>
      </c>
      <c r="HD203" s="238">
        <v>145</v>
      </c>
      <c r="HE203" s="236">
        <v>25</v>
      </c>
      <c r="HF203" s="183">
        <v>265</v>
      </c>
      <c r="HG203" s="193">
        <f t="shared" si="187"/>
        <v>260</v>
      </c>
      <c r="HH203" s="192" t="e">
        <f t="shared" si="188"/>
        <v>#REF!</v>
      </c>
      <c r="HI203" s="198">
        <v>25</v>
      </c>
      <c r="HJ203" s="185">
        <v>190</v>
      </c>
    </row>
    <row r="204" spans="1:244" ht="13.35" customHeight="1" x14ac:dyDescent="0.2">
      <c r="A204" s="174">
        <v>58</v>
      </c>
      <c r="B204" s="174">
        <f t="shared" si="189"/>
        <v>80</v>
      </c>
      <c r="E204" s="207"/>
      <c r="F204" s="174" t="str">
        <f>HLOOKUP(Stats!$B$5,$F$176:$DE$198,3,0)</f>
        <v>Arien</v>
      </c>
      <c r="EO204" s="268" t="s">
        <v>4193</v>
      </c>
      <c r="EP204" s="268" t="s">
        <v>977</v>
      </c>
      <c r="EQ204" s="268" t="s">
        <v>976</v>
      </c>
      <c r="ER204" s="268" t="s">
        <v>4182</v>
      </c>
      <c r="ES204" s="268" t="s">
        <v>4359</v>
      </c>
      <c r="ET204" s="268" t="s">
        <v>4364</v>
      </c>
      <c r="EU204" s="268" t="s">
        <v>4181</v>
      </c>
      <c r="EV204" s="268" t="s">
        <v>899</v>
      </c>
      <c r="EW204" s="268" t="s">
        <v>4172</v>
      </c>
      <c r="EX204" s="268" t="s">
        <v>4171</v>
      </c>
      <c r="EY204" s="268" t="s">
        <v>4180</v>
      </c>
      <c r="EZ204" s="268" t="s">
        <v>4173</v>
      </c>
      <c r="FA204" s="268" t="s">
        <v>4183</v>
      </c>
      <c r="FB204" s="268" t="s">
        <v>4349</v>
      </c>
      <c r="FC204" s="268" t="s">
        <v>4185</v>
      </c>
      <c r="FD204" s="268" t="s">
        <v>4361</v>
      </c>
      <c r="FE204" s="268" t="s">
        <v>4393</v>
      </c>
      <c r="FF204" s="268" t="s">
        <v>4371</v>
      </c>
      <c r="FG204" s="268" t="s">
        <v>4269</v>
      </c>
      <c r="FH204" s="268" t="s">
        <v>4197</v>
      </c>
      <c r="FI204" s="268" t="s">
        <v>4187</v>
      </c>
      <c r="FJ204" s="268" t="s">
        <v>4188</v>
      </c>
      <c r="FK204" s="268" t="s">
        <v>4195</v>
      </c>
      <c r="FL204" s="268" t="s">
        <v>4198</v>
      </c>
      <c r="FM204" s="268" t="s">
        <v>4199</v>
      </c>
      <c r="FN204" s="268" t="s">
        <v>4200</v>
      </c>
      <c r="FO204" s="268" t="s">
        <v>4189</v>
      </c>
      <c r="FP204" s="268" t="s">
        <v>4388</v>
      </c>
      <c r="FQ204" s="268" t="s">
        <v>4190</v>
      </c>
      <c r="FR204" s="268" t="s">
        <v>4201</v>
      </c>
      <c r="FS204" s="268" t="s">
        <v>4191</v>
      </c>
      <c r="FT204" s="268" t="s">
        <v>4202</v>
      </c>
      <c r="FU204" s="268" t="s">
        <v>4192</v>
      </c>
      <c r="FV204" s="268" t="s">
        <v>4203</v>
      </c>
      <c r="FW204" s="268" t="s">
        <v>4377</v>
      </c>
      <c r="FX204" s="268" t="s">
        <v>4204</v>
      </c>
      <c r="FY204" s="268" t="s">
        <v>913</v>
      </c>
      <c r="FZ204" s="268" t="s">
        <v>1058</v>
      </c>
      <c r="GA204" s="185"/>
      <c r="GB204" s="185"/>
      <c r="GC204" s="185"/>
      <c r="GE204" s="185"/>
      <c r="GF204" s="185"/>
      <c r="GG204" s="185"/>
      <c r="GH204" s="185"/>
      <c r="GI204" s="185"/>
      <c r="GJ204" s="185"/>
      <c r="GK204" s="185"/>
      <c r="GL204" s="185"/>
      <c r="GM204" s="185"/>
      <c r="GN204" s="185"/>
      <c r="GO204" s="185"/>
      <c r="GP204" s="185"/>
      <c r="GQ204" s="185"/>
      <c r="HA204" s="174">
        <v>1</v>
      </c>
    </row>
    <row r="205" spans="1:244" ht="13.35" customHeight="1" x14ac:dyDescent="0.2">
      <c r="A205" s="174">
        <v>59</v>
      </c>
      <c r="B205" s="174">
        <f t="shared" si="189"/>
        <v>81</v>
      </c>
      <c r="E205" s="207"/>
      <c r="F205" s="174" t="str">
        <f>HLOOKUP(Stats!$B$5,$F$176:$DE$198,4,0)</f>
        <v>Aulë</v>
      </c>
      <c r="EO205" s="174" t="s">
        <v>248</v>
      </c>
      <c r="EP205" s="174" t="s">
        <v>1909</v>
      </c>
      <c r="EQ205" s="174" t="s">
        <v>1909</v>
      </c>
      <c r="ER205" s="174" t="s">
        <v>4307</v>
      </c>
      <c r="ES205" s="174" t="s">
        <v>1915</v>
      </c>
      <c r="ET205" s="174" t="s">
        <v>1913</v>
      </c>
      <c r="EU205" s="174" t="s">
        <v>1908</v>
      </c>
      <c r="EW205" s="174" t="s">
        <v>1915</v>
      </c>
      <c r="EX205" s="174" t="s">
        <v>1915</v>
      </c>
      <c r="EY205" s="174" t="s">
        <v>1915</v>
      </c>
      <c r="EZ205" s="174" t="s">
        <v>1915</v>
      </c>
      <c r="FA205" s="174" t="s">
        <v>4316</v>
      </c>
      <c r="FB205" s="174" t="s">
        <v>1915</v>
      </c>
      <c r="FC205" s="174" t="s">
        <v>1915</v>
      </c>
      <c r="FD205" s="174" t="s">
        <v>4318</v>
      </c>
      <c r="FE205" s="174" t="s">
        <v>1915</v>
      </c>
      <c r="FF205" s="174" t="s">
        <v>1915</v>
      </c>
      <c r="FG205" s="174" t="s">
        <v>1915</v>
      </c>
      <c r="FH205" s="174" t="s">
        <v>1913</v>
      </c>
      <c r="FI205" s="174" t="s">
        <v>1913</v>
      </c>
      <c r="FJ205" s="174" t="s">
        <v>1913</v>
      </c>
      <c r="FK205" s="174" t="s">
        <v>1913</v>
      </c>
      <c r="FL205" s="174" t="s">
        <v>1915</v>
      </c>
      <c r="FM205" s="174" t="s">
        <v>1915</v>
      </c>
      <c r="FN205" s="174" t="s">
        <v>1915</v>
      </c>
      <c r="FO205" s="174" t="s">
        <v>1915</v>
      </c>
      <c r="FP205" s="174" t="s">
        <v>4286</v>
      </c>
      <c r="FQ205" s="174" t="s">
        <v>4307</v>
      </c>
      <c r="FR205" s="174" t="s">
        <v>1915</v>
      </c>
      <c r="FS205" s="174" t="s">
        <v>1915</v>
      </c>
      <c r="FT205" s="174" t="s">
        <v>1915</v>
      </c>
      <c r="FU205" s="174" t="s">
        <v>1913</v>
      </c>
      <c r="FV205" s="174" t="s">
        <v>1915</v>
      </c>
      <c r="FW205" s="174" t="s">
        <v>1953</v>
      </c>
      <c r="FX205" s="174" t="s">
        <v>1916</v>
      </c>
      <c r="FY205" s="174" t="s">
        <v>1915</v>
      </c>
      <c r="FZ205" s="174" t="s">
        <v>1915</v>
      </c>
      <c r="HA205" s="174">
        <v>2</v>
      </c>
    </row>
    <row r="206" spans="1:244" ht="13.35" customHeight="1" x14ac:dyDescent="0.2">
      <c r="A206" s="174">
        <v>60</v>
      </c>
      <c r="B206" s="174">
        <f t="shared" si="189"/>
        <v>82</v>
      </c>
      <c r="E206" s="207"/>
      <c r="F206" s="174" t="str">
        <f>HLOOKUP(Stats!$B$5,$F$176:$DE$198,5,0)</f>
        <v>Ben-Adar</v>
      </c>
      <c r="EP206" s="174" t="s">
        <v>357</v>
      </c>
      <c r="EQ206" s="174" t="s">
        <v>357</v>
      </c>
      <c r="ES206" s="174" t="s">
        <v>1913</v>
      </c>
      <c r="ET206" s="174" t="s">
        <v>4286</v>
      </c>
      <c r="EU206" s="174" t="s">
        <v>1915</v>
      </c>
      <c r="EW206" s="174" t="s">
        <v>1908</v>
      </c>
      <c r="EX206" s="174" t="s">
        <v>4309</v>
      </c>
      <c r="EY206" s="174" t="s">
        <v>1913</v>
      </c>
      <c r="EZ206" s="174" t="s">
        <v>4286</v>
      </c>
      <c r="FA206" s="174" t="s">
        <v>4315</v>
      </c>
      <c r="FB206" s="174" t="s">
        <v>1913</v>
      </c>
      <c r="FC206" s="174" t="s">
        <v>4286</v>
      </c>
      <c r="FD206" s="174" t="s">
        <v>1915</v>
      </c>
      <c r="FG206" s="174" t="s">
        <v>1941</v>
      </c>
      <c r="FJ206" s="174" t="s">
        <v>1915</v>
      </c>
      <c r="FK206" s="174" t="s">
        <v>1915</v>
      </c>
      <c r="FL206" s="174" t="s">
        <v>1913</v>
      </c>
      <c r="FN206" s="174" t="s">
        <v>1913</v>
      </c>
      <c r="FO206" s="174" t="s">
        <v>4286</v>
      </c>
      <c r="FP206" s="174" t="s">
        <v>1916</v>
      </c>
      <c r="FQ206" s="174" t="s">
        <v>1915</v>
      </c>
      <c r="FT206" s="174" t="s">
        <v>1913</v>
      </c>
      <c r="FU206" s="174" t="s">
        <v>4286</v>
      </c>
      <c r="FX206" s="174" t="s">
        <v>1915</v>
      </c>
      <c r="FY206" s="174" t="s">
        <v>1921</v>
      </c>
      <c r="FZ206" s="174" t="s">
        <v>1913</v>
      </c>
      <c r="HA206" s="174">
        <v>3</v>
      </c>
    </row>
    <row r="207" spans="1:244" ht="13.35" customHeight="1" x14ac:dyDescent="0.2">
      <c r="A207" s="174">
        <v>61</v>
      </c>
      <c r="B207" s="174">
        <f t="shared" si="189"/>
        <v>83</v>
      </c>
      <c r="E207" s="207"/>
      <c r="F207" s="174" t="str">
        <f>HLOOKUP(Stats!$B$5,$F$176:$DE$198,6,0)</f>
        <v>Ëonwë</v>
      </c>
      <c r="ES207" s="174" t="s">
        <v>4285</v>
      </c>
      <c r="ET207" s="174" t="s">
        <v>1916</v>
      </c>
      <c r="EU207" s="174" t="s">
        <v>357</v>
      </c>
      <c r="EW207" s="174" t="s">
        <v>4310</v>
      </c>
      <c r="EX207" s="174" t="s">
        <v>359</v>
      </c>
      <c r="EZ207" s="174" t="s">
        <v>1913</v>
      </c>
      <c r="FC207" s="174" t="s">
        <v>1913</v>
      </c>
      <c r="FD207" s="174" t="s">
        <v>1913</v>
      </c>
      <c r="FJ207" s="174" t="s">
        <v>4286</v>
      </c>
      <c r="FO207" s="174" t="s">
        <v>1913</v>
      </c>
      <c r="FP207" s="174" t="s">
        <v>1913</v>
      </c>
      <c r="FQ207" s="174" t="s">
        <v>1913</v>
      </c>
      <c r="FT207" s="174" t="s">
        <v>4286</v>
      </c>
      <c r="FU207" s="174" t="s">
        <v>1915</v>
      </c>
      <c r="FX207" s="174" t="s">
        <v>1955</v>
      </c>
      <c r="FZ207" s="174" t="s">
        <v>1921</v>
      </c>
      <c r="HA207" s="174">
        <v>4</v>
      </c>
    </row>
    <row r="208" spans="1:244" ht="13.35" customHeight="1" x14ac:dyDescent="0.2">
      <c r="A208" s="174">
        <v>62</v>
      </c>
      <c r="B208" s="174">
        <f t="shared" si="189"/>
        <v>84</v>
      </c>
      <c r="E208" s="207"/>
      <c r="F208" s="174" t="str">
        <f>HLOOKUP(Stats!$B$5,$F$176:$DE$198,7,0)</f>
        <v>Estë</v>
      </c>
      <c r="EU208" s="174" t="s">
        <v>1916</v>
      </c>
      <c r="EX208" s="174" t="s">
        <v>1916</v>
      </c>
      <c r="EZ208" s="174" t="s">
        <v>4311</v>
      </c>
      <c r="FX208" s="174" t="s">
        <v>1913</v>
      </c>
    </row>
    <row r="209" spans="1:151" ht="13.35" customHeight="1" x14ac:dyDescent="0.2">
      <c r="A209" s="174">
        <v>63</v>
      </c>
      <c r="B209" s="174">
        <f t="shared" si="189"/>
        <v>85</v>
      </c>
      <c r="E209" s="207"/>
      <c r="F209" s="174" t="str">
        <f>HLOOKUP(Stats!$B$5,$F$176:$DE$198,8,0)</f>
        <v>Ilmarë</v>
      </c>
    </row>
    <row r="210" spans="1:151" ht="13.35" customHeight="1" x14ac:dyDescent="0.2">
      <c r="A210" s="174">
        <v>64</v>
      </c>
      <c r="B210" s="174">
        <f t="shared" si="189"/>
        <v>86</v>
      </c>
      <c r="E210" s="207"/>
      <c r="F210" s="174" t="str">
        <f>HLOOKUP(Stats!$B$5,$F$176:$DE$198,9,0)</f>
        <v>Irmo</v>
      </c>
      <c r="EN210" s="174" t="s">
        <v>1924</v>
      </c>
      <c r="EO210" s="174" t="str">
        <f>HLOOKUP(Stats!$B$2,$EO$193:$GZ$196,2,0)</f>
        <v>Bark</v>
      </c>
      <c r="EP210" s="174" t="str">
        <f>HLOOKUP(Stats!$B$2,$EO$193:$GZ$196,2,0)</f>
        <v>Bark</v>
      </c>
      <c r="EQ210" s="174" t="s">
        <v>1943</v>
      </c>
      <c r="ER210" s="174" t="str">
        <f>HLOOKUP(Stats!$B$2,$EO$198:$GZ$202,2,0)</f>
        <v>Blue</v>
      </c>
      <c r="ET210" s="174" t="s">
        <v>1952</v>
      </c>
      <c r="EU210" s="174" t="str">
        <f>HLOOKUP(Stats!$B$2,$EO$204:$GZ$208,2,0)</f>
        <v>Black</v>
      </c>
    </row>
    <row r="211" spans="1:151" ht="13.35" customHeight="1" x14ac:dyDescent="0.2">
      <c r="A211" s="174">
        <v>65</v>
      </c>
      <c r="B211" s="174">
        <f t="shared" ref="B211:B220" si="190">A211+17</f>
        <v>82</v>
      </c>
      <c r="E211" s="207"/>
      <c r="F211" s="174" t="str">
        <f>HLOOKUP(Stats!$B$5,$F$176:$DE$198,10,0)</f>
        <v>Manwë</v>
      </c>
      <c r="EO211" s="174">
        <f>HLOOKUP(Stats!$B$2,$EO$193:$GZ$196,3,0)</f>
        <v>0</v>
      </c>
      <c r="ER211" s="174" t="str">
        <f>HLOOKUP(Stats!$B$2,$EO$198:$GZ$202,3,0)</f>
        <v>Brown</v>
      </c>
      <c r="EU211" s="174" t="str">
        <f>HLOOKUP(Stats!$B$2,$EO$204:$GZ$208,3,0)</f>
        <v>Brown</v>
      </c>
    </row>
    <row r="212" spans="1:151" ht="13.35" customHeight="1" x14ac:dyDescent="0.2">
      <c r="A212" s="174">
        <v>66</v>
      </c>
      <c r="B212" s="174">
        <f t="shared" si="190"/>
        <v>83</v>
      </c>
      <c r="E212" s="207"/>
      <c r="F212" s="174" t="str">
        <f>HLOOKUP(Stats!$B$5,$F$176:$DE$198,11,0)</f>
        <v>Morgoth</v>
      </c>
      <c r="EO212" s="174">
        <f>HLOOKUP(Stats!$B$2,$EO$193:$GZ$196,4,0)</f>
        <v>0</v>
      </c>
      <c r="ER212" s="174">
        <f>HLOOKUP(Stats!$B$2,$EO$198:$GZ$202,4,0)</f>
        <v>0</v>
      </c>
      <c r="EU212" s="174">
        <f>HLOOKUP(Stats!$B$2,$EO$204:$GZ$208,4,0)</f>
        <v>0</v>
      </c>
    </row>
    <row r="213" spans="1:151" ht="13.35" customHeight="1" x14ac:dyDescent="0.2">
      <c r="A213" s="174">
        <v>67</v>
      </c>
      <c r="B213" s="174">
        <f t="shared" si="190"/>
        <v>84</v>
      </c>
      <c r="E213" s="207"/>
      <c r="F213" s="174" t="str">
        <f>HLOOKUP(Stats!$B$5,$F$176:$DE$198,12,0)</f>
        <v>Námo</v>
      </c>
      <c r="ER213" s="174">
        <f>HLOOKUP(Stats!$B$2,$EO$198:$GZ$202,5,0)</f>
        <v>0</v>
      </c>
      <c r="EU213" s="174">
        <f>HLOOKUP(Stats!$B$2,$EO$204:$GZ$208,5,0)</f>
        <v>0</v>
      </c>
    </row>
    <row r="214" spans="1:151" ht="13.35" customHeight="1" x14ac:dyDescent="0.2">
      <c r="A214" s="174">
        <v>68</v>
      </c>
      <c r="B214" s="174">
        <f t="shared" si="190"/>
        <v>85</v>
      </c>
      <c r="E214" s="207"/>
      <c r="F214" s="174" t="str">
        <f>HLOOKUP(Stats!$B$5,$F$176:$DE$198,13,0)</f>
        <v>Nessa</v>
      </c>
    </row>
    <row r="215" spans="1:151" ht="13.35" customHeight="1" x14ac:dyDescent="0.2">
      <c r="A215" s="174">
        <v>69</v>
      </c>
      <c r="B215" s="174">
        <f t="shared" si="190"/>
        <v>86</v>
      </c>
      <c r="E215" s="207"/>
      <c r="F215" s="174" t="str">
        <f>HLOOKUP(Stats!$B$5,$F$176:$DE$198,14,0)</f>
        <v>Nienna</v>
      </c>
    </row>
    <row r="216" spans="1:151" ht="13.35" customHeight="1" x14ac:dyDescent="0.2">
      <c r="A216" s="174">
        <v>70</v>
      </c>
      <c r="B216" s="174">
        <f t="shared" si="190"/>
        <v>87</v>
      </c>
      <c r="E216" s="207"/>
      <c r="F216" s="174" t="str">
        <f>HLOOKUP(Stats!$B$5,$F$176:$DE$198,15,0)</f>
        <v>Oromë</v>
      </c>
    </row>
    <row r="217" spans="1:151" ht="13.35" customHeight="1" x14ac:dyDescent="0.2">
      <c r="A217" s="174">
        <v>71</v>
      </c>
      <c r="B217" s="174">
        <f t="shared" si="190"/>
        <v>88</v>
      </c>
      <c r="E217" s="207"/>
      <c r="F217" s="174" t="str">
        <f>HLOOKUP(Stats!$B$5,$F$176:$DE$198,16,0)</f>
        <v>Ossë</v>
      </c>
    </row>
    <row r="218" spans="1:151" ht="13.35" customHeight="1" x14ac:dyDescent="0.2">
      <c r="A218" s="174">
        <v>72</v>
      </c>
      <c r="B218" s="174">
        <f t="shared" si="190"/>
        <v>89</v>
      </c>
      <c r="E218" s="207"/>
      <c r="F218" s="174" t="str">
        <f>HLOOKUP(Stats!$B$5,$F$176:$DE$198,17,0)</f>
        <v>Tilion</v>
      </c>
    </row>
    <row r="219" spans="1:151" ht="13.35" customHeight="1" x14ac:dyDescent="0.2">
      <c r="A219" s="174">
        <v>73</v>
      </c>
      <c r="B219" s="174">
        <f t="shared" si="190"/>
        <v>90</v>
      </c>
      <c r="E219" s="207"/>
      <c r="F219" s="174" t="str">
        <f>HLOOKUP(Stats!$B$5,$F$176:$DE$198,18,0)</f>
        <v>Tulkas</v>
      </c>
    </row>
    <row r="220" spans="1:151" ht="13.35" customHeight="1" x14ac:dyDescent="0.2">
      <c r="A220" s="174">
        <v>74</v>
      </c>
      <c r="B220" s="174">
        <f t="shared" si="190"/>
        <v>91</v>
      </c>
      <c r="E220" s="207"/>
      <c r="F220" s="174" t="str">
        <f>HLOOKUP(Stats!$B$5,$F$176:$DE$198,19,0)</f>
        <v>Ulmo</v>
      </c>
    </row>
    <row r="221" spans="1:151" ht="13.35" customHeight="1" x14ac:dyDescent="0.2">
      <c r="A221" s="174">
        <v>75</v>
      </c>
      <c r="B221" s="174">
        <f t="shared" ref="B221:B230" si="191">A221+11</f>
        <v>86</v>
      </c>
      <c r="E221" s="207"/>
      <c r="F221" s="174" t="str">
        <f>HLOOKUP(Stats!$B$5,$F$176:$DE$198,20,0)</f>
        <v>Vairë</v>
      </c>
    </row>
    <row r="222" spans="1:151" ht="13.35" customHeight="1" x14ac:dyDescent="0.2">
      <c r="A222" s="174">
        <v>76</v>
      </c>
      <c r="B222" s="174">
        <f t="shared" si="191"/>
        <v>87</v>
      </c>
      <c r="E222" s="207"/>
      <c r="F222" s="174" t="str">
        <f>HLOOKUP(Stats!$B$5,$F$176:$DE$198,21,0)</f>
        <v>Vána</v>
      </c>
    </row>
    <row r="223" spans="1:151" ht="13.35" customHeight="1" x14ac:dyDescent="0.2">
      <c r="A223" s="174">
        <v>77</v>
      </c>
      <c r="B223" s="174">
        <f t="shared" si="191"/>
        <v>88</v>
      </c>
      <c r="E223" s="207"/>
      <c r="F223" s="174" t="str">
        <f>HLOOKUP(Stats!$B$5,$F$176:$DE$198,22,0)</f>
        <v>Varda</v>
      </c>
    </row>
    <row r="224" spans="1:151" ht="13.35" customHeight="1" x14ac:dyDescent="0.2">
      <c r="A224" s="174">
        <v>78</v>
      </c>
      <c r="B224" s="174">
        <f t="shared" si="191"/>
        <v>89</v>
      </c>
      <c r="E224" s="207"/>
      <c r="F224" s="174" t="str">
        <f>HLOOKUP(Stats!$B$5,$F$176:$DE$198,23,0)</f>
        <v>Yavanna</v>
      </c>
    </row>
    <row r="225" spans="1:5" ht="13.35" customHeight="1" x14ac:dyDescent="0.2">
      <c r="A225" s="174">
        <v>79</v>
      </c>
      <c r="B225" s="174">
        <f t="shared" si="191"/>
        <v>90</v>
      </c>
      <c r="E225" s="207"/>
    </row>
    <row r="226" spans="1:5" ht="13.35" customHeight="1" x14ac:dyDescent="0.2">
      <c r="A226" s="174">
        <v>80</v>
      </c>
      <c r="B226" s="174">
        <f t="shared" si="191"/>
        <v>91</v>
      </c>
      <c r="E226" s="207"/>
    </row>
    <row r="227" spans="1:5" ht="13.35" customHeight="1" x14ac:dyDescent="0.2">
      <c r="A227" s="174">
        <v>81</v>
      </c>
      <c r="B227" s="174">
        <f t="shared" si="191"/>
        <v>92</v>
      </c>
      <c r="E227" s="207"/>
    </row>
    <row r="228" spans="1:5" ht="13.35" customHeight="1" x14ac:dyDescent="0.2">
      <c r="A228" s="174">
        <v>82</v>
      </c>
      <c r="B228" s="174">
        <f t="shared" si="191"/>
        <v>93</v>
      </c>
      <c r="E228" s="207"/>
    </row>
    <row r="229" spans="1:5" ht="13.35" customHeight="1" x14ac:dyDescent="0.2">
      <c r="A229" s="174">
        <v>83</v>
      </c>
      <c r="B229" s="174">
        <f t="shared" si="191"/>
        <v>94</v>
      </c>
      <c r="E229" s="207"/>
    </row>
    <row r="230" spans="1:5" ht="13.35" customHeight="1" x14ac:dyDescent="0.2">
      <c r="A230" s="174">
        <v>84</v>
      </c>
      <c r="B230" s="174">
        <f t="shared" si="191"/>
        <v>95</v>
      </c>
      <c r="E230" s="207"/>
    </row>
    <row r="231" spans="1:5" ht="13.35" customHeight="1" x14ac:dyDescent="0.2">
      <c r="A231" s="174">
        <v>85</v>
      </c>
      <c r="B231" s="174">
        <f t="shared" ref="B231:B237" si="192">A231+6</f>
        <v>91</v>
      </c>
      <c r="E231" s="207"/>
    </row>
    <row r="232" spans="1:5" ht="13.35" customHeight="1" x14ac:dyDescent="0.2">
      <c r="A232" s="174">
        <v>86</v>
      </c>
      <c r="B232" s="174">
        <f t="shared" si="192"/>
        <v>92</v>
      </c>
      <c r="E232" s="207"/>
    </row>
    <row r="233" spans="1:5" ht="13.35" customHeight="1" x14ac:dyDescent="0.2">
      <c r="A233" s="174">
        <v>87</v>
      </c>
      <c r="B233" s="174">
        <f t="shared" si="192"/>
        <v>93</v>
      </c>
      <c r="E233" s="207"/>
    </row>
    <row r="234" spans="1:5" ht="13.35" customHeight="1" x14ac:dyDescent="0.2">
      <c r="A234" s="174">
        <v>88</v>
      </c>
      <c r="B234" s="174">
        <f t="shared" si="192"/>
        <v>94</v>
      </c>
      <c r="E234" s="207"/>
    </row>
    <row r="235" spans="1:5" ht="13.35" customHeight="1" x14ac:dyDescent="0.2">
      <c r="A235" s="174">
        <v>89</v>
      </c>
      <c r="B235" s="174">
        <f t="shared" si="192"/>
        <v>95</v>
      </c>
      <c r="E235" s="207"/>
    </row>
    <row r="236" spans="1:5" ht="13.35" customHeight="1" x14ac:dyDescent="0.2">
      <c r="A236" s="174">
        <v>90</v>
      </c>
      <c r="B236" s="174">
        <f t="shared" si="192"/>
        <v>96</v>
      </c>
      <c r="E236" s="207"/>
    </row>
    <row r="237" spans="1:5" ht="13.35" customHeight="1" x14ac:dyDescent="0.2">
      <c r="A237" s="174">
        <v>91</v>
      </c>
      <c r="B237" s="174">
        <f t="shared" si="192"/>
        <v>97</v>
      </c>
      <c r="E237" s="207"/>
    </row>
    <row r="238" spans="1:5" ht="13.35" customHeight="1" x14ac:dyDescent="0.2">
      <c r="A238" s="174">
        <v>92</v>
      </c>
      <c r="B238" s="174">
        <f>A238+5</f>
        <v>97</v>
      </c>
      <c r="E238" s="207"/>
    </row>
    <row r="239" spans="1:5" ht="13.35" customHeight="1" x14ac:dyDescent="0.2">
      <c r="A239" s="174">
        <v>93</v>
      </c>
      <c r="B239" s="174">
        <f>A239+4</f>
        <v>97</v>
      </c>
      <c r="E239" s="207"/>
    </row>
    <row r="240" spans="1:5" ht="13.35" customHeight="1" x14ac:dyDescent="0.2">
      <c r="A240" s="174">
        <v>94</v>
      </c>
      <c r="B240" s="174">
        <f>A240+4</f>
        <v>98</v>
      </c>
      <c r="E240" s="207"/>
    </row>
    <row r="241" spans="1:108" ht="13.35" customHeight="1" x14ac:dyDescent="0.2">
      <c r="A241" s="174">
        <v>95</v>
      </c>
      <c r="B241" s="174">
        <f>A241+3</f>
        <v>98</v>
      </c>
      <c r="E241" s="207"/>
    </row>
    <row r="242" spans="1:108" ht="13.35" customHeight="1" x14ac:dyDescent="0.2">
      <c r="A242" s="174">
        <v>96</v>
      </c>
      <c r="B242" s="174">
        <f>A242+3</f>
        <v>99</v>
      </c>
      <c r="E242" s="207"/>
    </row>
    <row r="243" spans="1:108" ht="13.35" customHeight="1" x14ac:dyDescent="0.2">
      <c r="A243" s="174">
        <v>97</v>
      </c>
      <c r="B243" s="174">
        <f>A243+2</f>
        <v>99</v>
      </c>
      <c r="E243" s="207"/>
    </row>
    <row r="244" spans="1:108" ht="13.35" customHeight="1" x14ac:dyDescent="0.2">
      <c r="A244" s="174">
        <v>98</v>
      </c>
      <c r="B244" s="174">
        <f>A244+2</f>
        <v>100</v>
      </c>
      <c r="E244" s="207"/>
    </row>
    <row r="245" spans="1:108" ht="13.35" customHeight="1" x14ac:dyDescent="0.2">
      <c r="A245" s="174">
        <v>99</v>
      </c>
      <c r="B245" s="174">
        <f>A245+1</f>
        <v>100</v>
      </c>
      <c r="E245" s="207"/>
    </row>
    <row r="246" spans="1:108" ht="13.35" customHeight="1" x14ac:dyDescent="0.2">
      <c r="A246" s="174">
        <v>100</v>
      </c>
      <c r="B246" s="174">
        <f>A246+1</f>
        <v>101</v>
      </c>
      <c r="E246" s="207"/>
    </row>
    <row r="247" spans="1:108" ht="13.35" customHeight="1" x14ac:dyDescent="0.2">
      <c r="A247" s="174">
        <v>101</v>
      </c>
      <c r="B247" s="174">
        <f>A247+1</f>
        <v>102</v>
      </c>
      <c r="E247" s="207"/>
    </row>
    <row r="248" spans="1:108" ht="13.35" customHeight="1" x14ac:dyDescent="0.2">
      <c r="A248" s="174">
        <v>102</v>
      </c>
      <c r="B248" s="174">
        <v>102</v>
      </c>
      <c r="E248" s="207"/>
    </row>
    <row r="249" spans="1:108" ht="13.35" customHeight="1" x14ac:dyDescent="0.2">
      <c r="E249" s="207"/>
    </row>
    <row r="250" spans="1:108" ht="13.35" customHeight="1" x14ac:dyDescent="0.2">
      <c r="E250" s="207"/>
    </row>
    <row r="251" spans="1:108" ht="13.35" customHeight="1" x14ac:dyDescent="0.2">
      <c r="A251" s="174" t="s">
        <v>1958</v>
      </c>
      <c r="E251" s="207" t="s">
        <v>1959</v>
      </c>
      <c r="F251" s="174">
        <v>29</v>
      </c>
      <c r="G251" s="174">
        <v>29</v>
      </c>
      <c r="H251" s="174">
        <v>29</v>
      </c>
      <c r="I251" s="174">
        <v>29</v>
      </c>
      <c r="J251" s="174">
        <v>29</v>
      </c>
      <c r="K251" s="174">
        <v>31</v>
      </c>
      <c r="L251" s="174">
        <v>31</v>
      </c>
      <c r="M251" s="174">
        <v>31</v>
      </c>
      <c r="N251" s="174">
        <v>31</v>
      </c>
      <c r="O251" s="174">
        <v>31</v>
      </c>
      <c r="P251" s="174">
        <v>31</v>
      </c>
      <c r="Q251" s="174">
        <v>31</v>
      </c>
      <c r="R251" s="174">
        <v>31</v>
      </c>
      <c r="S251" s="174">
        <v>31</v>
      </c>
      <c r="T251" s="174">
        <v>29</v>
      </c>
      <c r="U251" s="174">
        <v>29</v>
      </c>
      <c r="V251" s="174">
        <v>29</v>
      </c>
      <c r="W251" s="174">
        <v>29</v>
      </c>
      <c r="X251" s="174">
        <v>29</v>
      </c>
      <c r="Y251" s="174">
        <v>29</v>
      </c>
      <c r="AA251" s="174">
        <v>31</v>
      </c>
      <c r="AB251" s="174">
        <v>31</v>
      </c>
      <c r="AC251" s="174">
        <v>31</v>
      </c>
      <c r="AD251" s="174">
        <v>31</v>
      </c>
      <c r="AF251" s="174">
        <v>31</v>
      </c>
      <c r="AG251" s="174">
        <v>31</v>
      </c>
      <c r="AH251" s="174">
        <v>31</v>
      </c>
      <c r="AJ251" s="174">
        <v>29</v>
      </c>
      <c r="AK251" s="174">
        <v>29</v>
      </c>
      <c r="AL251" s="174">
        <v>31</v>
      </c>
      <c r="AM251" s="174">
        <v>31</v>
      </c>
      <c r="CX251" s="174">
        <v>31</v>
      </c>
      <c r="CY251" s="174">
        <v>31</v>
      </c>
      <c r="CZ251" s="174">
        <v>31</v>
      </c>
      <c r="DA251" s="174">
        <v>31</v>
      </c>
      <c r="DB251" s="174">
        <v>29</v>
      </c>
      <c r="DC251" s="174">
        <v>29</v>
      </c>
      <c r="DD251" s="174">
        <v>29</v>
      </c>
    </row>
    <row r="252" spans="1:108" ht="13.35" customHeight="1" x14ac:dyDescent="0.2">
      <c r="A252" s="174" t="s">
        <v>1960</v>
      </c>
      <c r="B252" s="174" t="s">
        <v>1961</v>
      </c>
      <c r="C252" s="220" t="s">
        <v>1962</v>
      </c>
      <c r="D252" s="220"/>
      <c r="E252" s="207" t="s">
        <v>398</v>
      </c>
      <c r="F252" s="174">
        <v>25</v>
      </c>
      <c r="G252" s="174">
        <v>25</v>
      </c>
      <c r="H252" s="174">
        <v>25</v>
      </c>
      <c r="I252" s="174">
        <v>25</v>
      </c>
      <c r="J252" s="174">
        <v>25</v>
      </c>
      <c r="K252" s="174">
        <v>28</v>
      </c>
      <c r="L252" s="174">
        <v>27</v>
      </c>
      <c r="M252" s="174">
        <v>26</v>
      </c>
      <c r="N252" s="174">
        <v>26</v>
      </c>
      <c r="O252" s="174">
        <v>25</v>
      </c>
      <c r="P252" s="174">
        <v>25</v>
      </c>
      <c r="Q252" s="174">
        <v>26</v>
      </c>
      <c r="R252" s="174">
        <v>23</v>
      </c>
      <c r="S252" s="174">
        <v>28</v>
      </c>
      <c r="T252" s="174">
        <v>26</v>
      </c>
      <c r="U252" s="174">
        <v>23</v>
      </c>
      <c r="V252" s="174">
        <v>25</v>
      </c>
      <c r="W252" s="174">
        <v>25</v>
      </c>
      <c r="X252" s="174">
        <v>20</v>
      </c>
      <c r="Y252" s="174">
        <v>20</v>
      </c>
      <c r="AA252" s="174">
        <v>30</v>
      </c>
      <c r="AB252" s="174">
        <v>30</v>
      </c>
      <c r="AC252" s="174">
        <v>29</v>
      </c>
      <c r="AD252" s="174">
        <v>29</v>
      </c>
      <c r="AJ252" s="174">
        <v>26</v>
      </c>
      <c r="AK252" s="174">
        <v>28</v>
      </c>
      <c r="AL252" s="174">
        <v>28</v>
      </c>
      <c r="AM252" s="174">
        <v>30</v>
      </c>
      <c r="AO252" s="174">
        <v>31</v>
      </c>
      <c r="AP252" s="174">
        <v>29</v>
      </c>
      <c r="AQ252" s="174">
        <v>26</v>
      </c>
      <c r="AS252" s="174">
        <v>30</v>
      </c>
      <c r="AT252" s="174">
        <v>30</v>
      </c>
      <c r="AU252" s="174">
        <v>30</v>
      </c>
      <c r="AV252" s="174">
        <v>30</v>
      </c>
      <c r="AW252" s="174">
        <v>30</v>
      </c>
      <c r="AY252" s="174">
        <v>30</v>
      </c>
      <c r="BB252" s="174">
        <v>30</v>
      </c>
      <c r="BC252" s="174">
        <v>30</v>
      </c>
      <c r="BD252" s="174">
        <v>30</v>
      </c>
      <c r="BF252" s="174">
        <v>30</v>
      </c>
      <c r="BG252" s="174">
        <v>30</v>
      </c>
      <c r="BH252" s="174">
        <v>30</v>
      </c>
      <c r="BI252" s="174">
        <v>30</v>
      </c>
      <c r="BJ252" s="174">
        <v>30</v>
      </c>
      <c r="BL252" s="174">
        <v>30</v>
      </c>
      <c r="BM252" s="174">
        <v>30</v>
      </c>
      <c r="BN252" s="174">
        <v>30</v>
      </c>
      <c r="BO252" s="174">
        <v>30</v>
      </c>
      <c r="BQ252" s="174">
        <v>30</v>
      </c>
      <c r="BR252" s="174">
        <v>30</v>
      </c>
      <c r="BS252" s="174">
        <v>30</v>
      </c>
      <c r="BU252" s="174">
        <v>30</v>
      </c>
      <c r="BV252" s="174">
        <v>30</v>
      </c>
      <c r="BW252" s="174">
        <v>30</v>
      </c>
      <c r="BX252" s="174">
        <v>30</v>
      </c>
      <c r="BY252" s="174">
        <v>30</v>
      </c>
      <c r="BZ252" s="174">
        <v>30</v>
      </c>
      <c r="CA252" s="174">
        <v>30</v>
      </c>
      <c r="CB252" s="174">
        <v>30</v>
      </c>
      <c r="CI252" s="174">
        <v>30</v>
      </c>
      <c r="CJ252" s="174">
        <v>30</v>
      </c>
      <c r="CK252" s="174">
        <v>30</v>
      </c>
      <c r="CO252" s="174">
        <v>30</v>
      </c>
      <c r="DB252" s="174">
        <v>27</v>
      </c>
      <c r="DC252" s="174">
        <v>28</v>
      </c>
      <c r="DD252" s="174">
        <v>28</v>
      </c>
    </row>
    <row r="253" spans="1:108" ht="13.35" customHeight="1" x14ac:dyDescent="0.2">
      <c r="A253" s="174" t="s">
        <v>1963</v>
      </c>
      <c r="B253" s="174" t="s">
        <v>1964</v>
      </c>
      <c r="C253" s="220" t="s">
        <v>1965</v>
      </c>
      <c r="D253" s="220" t="s">
        <v>1966</v>
      </c>
      <c r="E253" s="207"/>
    </row>
    <row r="254" spans="1:108" ht="13.35" customHeight="1" x14ac:dyDescent="0.2">
      <c r="A254" s="174" t="s">
        <v>1967</v>
      </c>
      <c r="B254" s="174" t="s">
        <v>1968</v>
      </c>
      <c r="C254" s="220" t="s">
        <v>1969</v>
      </c>
      <c r="D254" s="220" t="s">
        <v>1970</v>
      </c>
    </row>
    <row r="255" spans="1:108" ht="13.35" customHeight="1" x14ac:dyDescent="0.2">
      <c r="A255" s="174" t="s">
        <v>1971</v>
      </c>
      <c r="B255" s="174" t="s">
        <v>1972</v>
      </c>
      <c r="C255" s="220" t="s">
        <v>1973</v>
      </c>
      <c r="D255" s="220" t="s">
        <v>1974</v>
      </c>
    </row>
    <row r="256" spans="1:108" ht="13.35" customHeight="1" x14ac:dyDescent="0.2">
      <c r="A256" s="174" t="s">
        <v>1975</v>
      </c>
      <c r="B256" s="174" t="s">
        <v>1976</v>
      </c>
      <c r="C256" s="220" t="s">
        <v>1977</v>
      </c>
      <c r="D256" s="220" t="s">
        <v>1978</v>
      </c>
      <c r="F256" s="174">
        <v>2</v>
      </c>
      <c r="G256" s="174">
        <v>3</v>
      </c>
      <c r="H256" s="174">
        <v>4</v>
      </c>
      <c r="I256" s="174">
        <v>5</v>
      </c>
      <c r="J256" s="174">
        <v>6</v>
      </c>
      <c r="K256" s="174">
        <v>7</v>
      </c>
      <c r="L256" s="174">
        <v>8</v>
      </c>
      <c r="M256" s="174">
        <v>9</v>
      </c>
      <c r="N256" s="174">
        <v>10</v>
      </c>
      <c r="O256" s="174">
        <v>11</v>
      </c>
      <c r="P256" s="174">
        <v>12</v>
      </c>
      <c r="Q256" s="174">
        <v>13</v>
      </c>
      <c r="R256" s="174">
        <v>14</v>
      </c>
      <c r="S256" s="174">
        <v>15</v>
      </c>
      <c r="T256" s="174">
        <v>16</v>
      </c>
      <c r="U256" s="174">
        <v>17</v>
      </c>
      <c r="V256" s="174">
        <v>18</v>
      </c>
      <c r="W256" s="174">
        <v>19</v>
      </c>
      <c r="X256" s="174">
        <v>20</v>
      </c>
      <c r="Y256" s="174">
        <v>21</v>
      </c>
      <c r="Z256" s="174">
        <v>22</v>
      </c>
      <c r="AA256" s="174">
        <v>23</v>
      </c>
      <c r="AB256" s="174">
        <v>24</v>
      </c>
      <c r="AC256" s="174">
        <v>25</v>
      </c>
      <c r="AD256" s="174">
        <v>26</v>
      </c>
      <c r="AE256" s="174">
        <v>27</v>
      </c>
      <c r="AF256" s="174">
        <v>28</v>
      </c>
      <c r="AG256" s="174">
        <v>29</v>
      </c>
      <c r="AH256" s="174">
        <v>30</v>
      </c>
      <c r="AI256" s="174">
        <v>31</v>
      </c>
      <c r="AJ256" s="174">
        <v>32</v>
      </c>
      <c r="AK256" s="174">
        <v>33</v>
      </c>
      <c r="AL256" s="174">
        <v>34</v>
      </c>
      <c r="AM256" s="174">
        <v>35</v>
      </c>
      <c r="AN256" s="174">
        <v>36</v>
      </c>
      <c r="AO256" s="174">
        <v>37</v>
      </c>
      <c r="AP256" s="174">
        <v>38</v>
      </c>
      <c r="AQ256" s="174">
        <v>39</v>
      </c>
      <c r="AR256" s="174">
        <v>40</v>
      </c>
      <c r="AS256" s="174">
        <v>41</v>
      </c>
      <c r="AT256" s="174">
        <v>42</v>
      </c>
      <c r="AU256" s="174">
        <v>43</v>
      </c>
      <c r="AV256" s="174">
        <v>44</v>
      </c>
      <c r="AW256" s="174">
        <v>45</v>
      </c>
    </row>
    <row r="257" spans="1:49" ht="13.35" customHeight="1" x14ac:dyDescent="0.2">
      <c r="A257" s="174" t="s">
        <v>1979</v>
      </c>
      <c r="B257" s="174" t="s">
        <v>201</v>
      </c>
      <c r="C257" s="220" t="s">
        <v>1980</v>
      </c>
      <c r="D257" s="220" t="s">
        <v>1981</v>
      </c>
      <c r="E257" s="221" t="s">
        <v>1982</v>
      </c>
      <c r="F257" s="174" t="s">
        <v>1983</v>
      </c>
      <c r="G257" s="174" t="s">
        <v>1984</v>
      </c>
      <c r="H257" s="174" t="s">
        <v>1985</v>
      </c>
      <c r="I257" s="174" t="s">
        <v>1986</v>
      </c>
      <c r="J257" s="174" t="s">
        <v>1987</v>
      </c>
      <c r="K257" s="174" t="s">
        <v>1988</v>
      </c>
      <c r="L257" s="174" t="s">
        <v>1989</v>
      </c>
      <c r="M257" s="174" t="s">
        <v>1990</v>
      </c>
      <c r="N257" s="174" t="s">
        <v>1991</v>
      </c>
      <c r="O257" s="174" t="s">
        <v>1992</v>
      </c>
      <c r="P257" s="174" t="s">
        <v>1993</v>
      </c>
      <c r="Q257" s="174" t="s">
        <v>1994</v>
      </c>
      <c r="R257" s="174" t="s">
        <v>1995</v>
      </c>
      <c r="S257" s="174" t="s">
        <v>1996</v>
      </c>
      <c r="T257" s="174" t="s">
        <v>1997</v>
      </c>
      <c r="U257" s="174" t="s">
        <v>1998</v>
      </c>
      <c r="V257" s="174" t="s">
        <v>1999</v>
      </c>
      <c r="W257" s="174" t="s">
        <v>2000</v>
      </c>
      <c r="X257" s="174" t="s">
        <v>2001</v>
      </c>
      <c r="Y257" s="174" t="s">
        <v>2002</v>
      </c>
      <c r="Z257" s="174" t="s">
        <v>2002</v>
      </c>
      <c r="AA257" s="174" t="s">
        <v>2002</v>
      </c>
      <c r="AB257" s="174" t="s">
        <v>2002</v>
      </c>
      <c r="AC257" s="174" t="s">
        <v>2002</v>
      </c>
      <c r="AD257" s="174" t="s">
        <v>2002</v>
      </c>
      <c r="AE257" s="174" t="s">
        <v>2002</v>
      </c>
      <c r="AF257" s="174" t="s">
        <v>2002</v>
      </c>
      <c r="AG257" s="174" t="s">
        <v>2002</v>
      </c>
      <c r="AH257" s="174" t="s">
        <v>2002</v>
      </c>
      <c r="AI257" s="174" t="s">
        <v>2002</v>
      </c>
      <c r="AJ257" s="174" t="s">
        <v>2002</v>
      </c>
      <c r="AK257" s="174" t="s">
        <v>2002</v>
      </c>
      <c r="AL257" s="174" t="s">
        <v>2002</v>
      </c>
      <c r="AM257" s="174" t="s">
        <v>2002</v>
      </c>
      <c r="AN257" s="174" t="s">
        <v>2002</v>
      </c>
      <c r="AO257" s="174" t="s">
        <v>2002</v>
      </c>
      <c r="AP257" s="174" t="s">
        <v>2002</v>
      </c>
      <c r="AQ257" s="174" t="s">
        <v>2002</v>
      </c>
      <c r="AR257" s="174" t="s">
        <v>2002</v>
      </c>
      <c r="AU257" s="174" t="s">
        <v>2003</v>
      </c>
      <c r="AV257" s="174" t="s">
        <v>468</v>
      </c>
      <c r="AW257" s="174" t="s">
        <v>470</v>
      </c>
    </row>
    <row r="258" spans="1:49" ht="13.35" customHeight="1" x14ac:dyDescent="0.2">
      <c r="A258" s="174" t="s">
        <v>2004</v>
      </c>
      <c r="B258" s="174" t="s">
        <v>2005</v>
      </c>
      <c r="C258" s="220" t="s">
        <v>2006</v>
      </c>
      <c r="D258" s="220" t="s">
        <v>2007</v>
      </c>
      <c r="E258" s="221" t="s">
        <v>2008</v>
      </c>
    </row>
    <row r="259" spans="1:49" ht="13.35" customHeight="1" x14ac:dyDescent="0.2">
      <c r="A259" s="174" t="s">
        <v>2009</v>
      </c>
      <c r="B259" s="174" t="s">
        <v>2010</v>
      </c>
      <c r="C259" s="220" t="s">
        <v>2011</v>
      </c>
      <c r="D259" s="220" t="s">
        <v>2012</v>
      </c>
      <c r="E259" s="221" t="s">
        <v>397</v>
      </c>
      <c r="F259" s="174">
        <v>24</v>
      </c>
      <c r="G259" s="174" t="s">
        <v>2013</v>
      </c>
      <c r="H259" s="174" t="s">
        <v>2014</v>
      </c>
      <c r="I259" s="174" t="s">
        <v>2015</v>
      </c>
      <c r="J259" s="174" t="s">
        <v>2016</v>
      </c>
      <c r="K259" s="174" t="s">
        <v>2017</v>
      </c>
      <c r="L259" s="174" t="s">
        <v>2018</v>
      </c>
      <c r="Y259" s="174" t="s">
        <v>2019</v>
      </c>
      <c r="Z259" s="174" t="s">
        <v>2020</v>
      </c>
      <c r="AA259" s="174" t="s">
        <v>2021</v>
      </c>
      <c r="AB259" s="174" t="s">
        <v>2022</v>
      </c>
      <c r="AC259" s="174" t="s">
        <v>2023</v>
      </c>
      <c r="AD259" s="174" t="s">
        <v>2024</v>
      </c>
      <c r="AE259" s="174" t="s">
        <v>2025</v>
      </c>
      <c r="AF259" s="174" t="s">
        <v>2026</v>
      </c>
      <c r="AG259" s="174" t="s">
        <v>2027</v>
      </c>
      <c r="AH259" s="174" t="s">
        <v>2028</v>
      </c>
      <c r="AI259" s="174" t="s">
        <v>2029</v>
      </c>
      <c r="AJ259" s="174" t="s">
        <v>2030</v>
      </c>
      <c r="AK259" s="174" t="s">
        <v>2031</v>
      </c>
      <c r="AL259" s="174" t="s">
        <v>2032</v>
      </c>
      <c r="AM259" s="174" t="s">
        <v>2033</v>
      </c>
      <c r="AN259" s="174" t="s">
        <v>2034</v>
      </c>
      <c r="AU259" s="174" t="s">
        <v>248</v>
      </c>
      <c r="AV259" s="174" t="s">
        <v>248</v>
      </c>
      <c r="AW259" s="174" t="s">
        <v>2035</v>
      </c>
    </row>
    <row r="260" spans="1:49" ht="13.35" customHeight="1" x14ac:dyDescent="0.2">
      <c r="A260" s="174" t="s">
        <v>2036</v>
      </c>
      <c r="B260" s="174" t="s">
        <v>2037</v>
      </c>
      <c r="C260" s="220" t="s">
        <v>2038</v>
      </c>
      <c r="D260" s="220" t="s">
        <v>2039</v>
      </c>
      <c r="E260" s="221" t="s">
        <v>2040</v>
      </c>
      <c r="F260" s="174">
        <v>70</v>
      </c>
      <c r="G260" s="174" t="s">
        <v>206</v>
      </c>
      <c r="H260" s="174" t="s">
        <v>2041</v>
      </c>
      <c r="I260" s="174" t="s">
        <v>2042</v>
      </c>
      <c r="J260" s="174" t="s">
        <v>2043</v>
      </c>
      <c r="K260" s="174" t="s">
        <v>2044</v>
      </c>
      <c r="L260" s="174" t="s">
        <v>2045</v>
      </c>
      <c r="Y260" s="174" t="s">
        <v>2046</v>
      </c>
      <c r="Z260" s="174" t="s">
        <v>2047</v>
      </c>
      <c r="AA260" s="174" t="s">
        <v>2048</v>
      </c>
      <c r="AB260" s="174" t="s">
        <v>2049</v>
      </c>
      <c r="AC260" s="174" t="s">
        <v>2050</v>
      </c>
      <c r="AD260" s="174" t="s">
        <v>2032</v>
      </c>
      <c r="AE260" s="174" t="s">
        <v>2051</v>
      </c>
      <c r="AF260" s="174" t="s">
        <v>2052</v>
      </c>
      <c r="AG260" s="174" t="s">
        <v>2053</v>
      </c>
      <c r="AH260" s="174" t="s">
        <v>2054</v>
      </c>
      <c r="AU260" s="174" t="s">
        <v>2055</v>
      </c>
      <c r="AV260" s="174" t="s">
        <v>2056</v>
      </c>
      <c r="AW260" s="174" t="s">
        <v>2057</v>
      </c>
    </row>
    <row r="261" spans="1:49" ht="13.35" customHeight="1" x14ac:dyDescent="0.2">
      <c r="E261" s="221" t="s">
        <v>2058</v>
      </c>
      <c r="F261" s="174">
        <v>102</v>
      </c>
      <c r="G261" s="174" t="s">
        <v>206</v>
      </c>
      <c r="H261" s="174" t="s">
        <v>2059</v>
      </c>
      <c r="I261" s="174" t="s">
        <v>2060</v>
      </c>
      <c r="J261" s="174" t="s">
        <v>2061</v>
      </c>
      <c r="K261" s="174" t="s">
        <v>2062</v>
      </c>
      <c r="L261" s="174" t="s">
        <v>2063</v>
      </c>
      <c r="M261" s="174" t="s">
        <v>2064</v>
      </c>
      <c r="N261" s="174" t="s">
        <v>2065</v>
      </c>
      <c r="O261" s="174" t="s">
        <v>2066</v>
      </c>
      <c r="Y261" s="174" t="s">
        <v>2067</v>
      </c>
      <c r="Z261" s="174" t="s">
        <v>2068</v>
      </c>
      <c r="AA261" s="174" t="s">
        <v>2069</v>
      </c>
      <c r="AB261" s="174" t="s">
        <v>2070</v>
      </c>
      <c r="AC261" s="174" t="s">
        <v>2071</v>
      </c>
      <c r="AD261" s="174" t="s">
        <v>2072</v>
      </c>
      <c r="AE261" s="174" t="s">
        <v>2073</v>
      </c>
      <c r="AF261" s="174" t="s">
        <v>2074</v>
      </c>
      <c r="AG261" s="174" t="s">
        <v>2029</v>
      </c>
      <c r="AH261" s="174" t="s">
        <v>2075</v>
      </c>
      <c r="AI261" s="174" t="s">
        <v>2076</v>
      </c>
      <c r="AJ261" s="174" t="s">
        <v>2077</v>
      </c>
      <c r="AK261" s="174" t="s">
        <v>2078</v>
      </c>
      <c r="AL261" s="174" t="s">
        <v>2079</v>
      </c>
      <c r="AU261" s="174" t="s">
        <v>248</v>
      </c>
      <c r="AV261" s="174" t="s">
        <v>248</v>
      </c>
      <c r="AW261" s="174" t="s">
        <v>233</v>
      </c>
    </row>
    <row r="262" spans="1:49" ht="13.35" customHeight="1" x14ac:dyDescent="0.2">
      <c r="A262" s="277" t="s">
        <v>4380</v>
      </c>
      <c r="B262" s="265"/>
      <c r="E262" s="221" t="s">
        <v>2080</v>
      </c>
      <c r="F262" s="174">
        <v>37</v>
      </c>
      <c r="G262" s="174" t="s">
        <v>206</v>
      </c>
      <c r="H262" s="174" t="s">
        <v>2081</v>
      </c>
      <c r="I262" s="174" t="s">
        <v>2082</v>
      </c>
      <c r="J262" s="174" t="s">
        <v>2083</v>
      </c>
      <c r="K262" s="174" t="s">
        <v>2084</v>
      </c>
      <c r="L262" s="174" t="s">
        <v>2085</v>
      </c>
      <c r="M262" s="174" t="s">
        <v>2086</v>
      </c>
      <c r="N262" s="174" t="s">
        <v>2087</v>
      </c>
      <c r="O262" s="174" t="s">
        <v>2088</v>
      </c>
      <c r="P262" s="174" t="s">
        <v>2089</v>
      </c>
      <c r="Q262" s="174" t="s">
        <v>2090</v>
      </c>
      <c r="R262" s="174" t="s">
        <v>2091</v>
      </c>
      <c r="S262" s="174" t="s">
        <v>2092</v>
      </c>
      <c r="T262" s="174" t="s">
        <v>2093</v>
      </c>
      <c r="U262" s="174" t="s">
        <v>2094</v>
      </c>
      <c r="Y262" s="174" t="s">
        <v>2095</v>
      </c>
      <c r="Z262" s="174" t="s">
        <v>2096</v>
      </c>
      <c r="AA262" s="174" t="s">
        <v>2097</v>
      </c>
      <c r="AB262" s="174" t="s">
        <v>2098</v>
      </c>
      <c r="AC262" s="174" t="s">
        <v>2099</v>
      </c>
      <c r="AD262" s="174" t="s">
        <v>2100</v>
      </c>
      <c r="AE262" s="174" t="s">
        <v>2101</v>
      </c>
      <c r="AF262" s="174" t="s">
        <v>2102</v>
      </c>
      <c r="AG262" s="174" t="s">
        <v>2103</v>
      </c>
      <c r="AU262" s="174" t="s">
        <v>2104</v>
      </c>
      <c r="AV262" s="174" t="s">
        <v>1177</v>
      </c>
      <c r="AW262" s="174" t="s">
        <v>248</v>
      </c>
    </row>
    <row r="263" spans="1:49" ht="13.35" customHeight="1" x14ac:dyDescent="0.2">
      <c r="A263" s="278" t="s">
        <v>4181</v>
      </c>
      <c r="B263" s="279" t="s">
        <v>4338</v>
      </c>
      <c r="E263" s="221" t="s">
        <v>2105</v>
      </c>
      <c r="F263" s="174">
        <v>164</v>
      </c>
      <c r="G263" s="174" t="s">
        <v>206</v>
      </c>
      <c r="H263" s="174" t="s">
        <v>2106</v>
      </c>
      <c r="I263" s="174" t="s">
        <v>2107</v>
      </c>
      <c r="J263" s="174" t="s">
        <v>2108</v>
      </c>
      <c r="K263" s="174" t="s">
        <v>2109</v>
      </c>
      <c r="L263" s="174" t="s">
        <v>2110</v>
      </c>
      <c r="M263" s="174" t="s">
        <v>2111</v>
      </c>
      <c r="N263" s="174" t="s">
        <v>2112</v>
      </c>
      <c r="Y263" s="174" t="s">
        <v>2113</v>
      </c>
      <c r="Z263" s="174" t="s">
        <v>2114</v>
      </c>
      <c r="AA263" s="174" t="s">
        <v>2115</v>
      </c>
      <c r="AB263" s="174" t="s">
        <v>2116</v>
      </c>
      <c r="AC263" s="174" t="s">
        <v>2117</v>
      </c>
      <c r="AD263" s="174" t="s">
        <v>2118</v>
      </c>
      <c r="AE263" s="174" t="s">
        <v>2048</v>
      </c>
      <c r="AF263" s="174" t="s">
        <v>2119</v>
      </c>
      <c r="AG263" s="174" t="s">
        <v>2120</v>
      </c>
      <c r="AH263" s="174" t="s">
        <v>2121</v>
      </c>
      <c r="AI263" s="174" t="s">
        <v>2122</v>
      </c>
      <c r="AJ263" s="174" t="s">
        <v>2123</v>
      </c>
      <c r="AK263" s="174" t="s">
        <v>2124</v>
      </c>
      <c r="AL263" s="174" t="s">
        <v>2125</v>
      </c>
      <c r="AM263" s="174" t="s">
        <v>2126</v>
      </c>
      <c r="AU263" s="174" t="s">
        <v>248</v>
      </c>
      <c r="AV263" s="174" t="s">
        <v>2127</v>
      </c>
      <c r="AW263" s="174" t="s">
        <v>248</v>
      </c>
    </row>
    <row r="264" spans="1:49" ht="13.35" customHeight="1" x14ac:dyDescent="0.2">
      <c r="A264" s="278" t="s">
        <v>4381</v>
      </c>
      <c r="B264" s="279" t="s">
        <v>4339</v>
      </c>
      <c r="E264" s="221" t="s">
        <v>2128</v>
      </c>
      <c r="F264" s="174">
        <v>30</v>
      </c>
      <c r="G264" s="174" t="s">
        <v>2013</v>
      </c>
      <c r="H264" s="174" t="s">
        <v>2129</v>
      </c>
      <c r="I264" s="174" t="s">
        <v>2130</v>
      </c>
      <c r="J264" s="174" t="s">
        <v>2131</v>
      </c>
      <c r="K264" s="174" t="s">
        <v>2132</v>
      </c>
      <c r="L264" s="174" t="s">
        <v>2133</v>
      </c>
      <c r="M264" s="174" t="s">
        <v>2133</v>
      </c>
      <c r="N264" s="174" t="s">
        <v>2133</v>
      </c>
      <c r="O264" s="174" t="s">
        <v>2133</v>
      </c>
      <c r="P264" s="174" t="s">
        <v>2134</v>
      </c>
      <c r="Y264" s="174" t="s">
        <v>2077</v>
      </c>
      <c r="Z264" s="174" t="s">
        <v>2068</v>
      </c>
      <c r="AA264" s="174" t="s">
        <v>2135</v>
      </c>
      <c r="AB264" s="174" t="s">
        <v>2049</v>
      </c>
      <c r="AC264" s="174" t="s">
        <v>2021</v>
      </c>
      <c r="AD264" s="174" t="s">
        <v>2022</v>
      </c>
      <c r="AE264" s="174" t="s">
        <v>2136</v>
      </c>
      <c r="AF264" s="174" t="s">
        <v>2137</v>
      </c>
      <c r="AG264" s="174" t="s">
        <v>2138</v>
      </c>
      <c r="AH264" s="174" t="s">
        <v>2139</v>
      </c>
      <c r="AI264" s="174" t="s">
        <v>2140</v>
      </c>
      <c r="AJ264" s="174" t="s">
        <v>2047</v>
      </c>
      <c r="AU264" s="174" t="s">
        <v>248</v>
      </c>
      <c r="AV264" s="174" t="s">
        <v>248</v>
      </c>
      <c r="AW264" s="174" t="s">
        <v>248</v>
      </c>
    </row>
    <row r="265" spans="1:49" ht="13.35" customHeight="1" x14ac:dyDescent="0.2">
      <c r="A265" s="278" t="s">
        <v>4197</v>
      </c>
      <c r="B265" s="279" t="s">
        <v>4340</v>
      </c>
      <c r="E265" s="221" t="s">
        <v>2141</v>
      </c>
      <c r="F265" s="174">
        <v>64</v>
      </c>
      <c r="G265" s="174" t="s">
        <v>206</v>
      </c>
      <c r="H265" s="174" t="s">
        <v>2129</v>
      </c>
      <c r="I265" s="174" t="s">
        <v>2142</v>
      </c>
      <c r="J265" s="174" t="s">
        <v>2143</v>
      </c>
      <c r="Y265" s="174" t="s">
        <v>2144</v>
      </c>
      <c r="Z265" s="174" t="s">
        <v>2145</v>
      </c>
      <c r="AA265" s="174" t="s">
        <v>2146</v>
      </c>
      <c r="AB265" s="174" t="s">
        <v>2147</v>
      </c>
      <c r="AC265" s="174" t="s">
        <v>2148</v>
      </c>
      <c r="AD265" s="174" t="s">
        <v>2149</v>
      </c>
      <c r="AE265" s="174" t="s">
        <v>2019</v>
      </c>
      <c r="AF265" s="174" t="s">
        <v>2020</v>
      </c>
      <c r="AU265" s="174" t="s">
        <v>248</v>
      </c>
      <c r="AV265" s="174" t="s">
        <v>248</v>
      </c>
      <c r="AW265" s="174" t="s">
        <v>2150</v>
      </c>
    </row>
    <row r="266" spans="1:49" ht="13.35" customHeight="1" x14ac:dyDescent="0.2">
      <c r="A266" s="278" t="s">
        <v>4187</v>
      </c>
      <c r="B266" s="279" t="s">
        <v>4341</v>
      </c>
      <c r="E266" s="221" t="s">
        <v>2151</v>
      </c>
      <c r="F266" s="174">
        <v>33</v>
      </c>
      <c r="G266" s="174" t="s">
        <v>2013</v>
      </c>
      <c r="H266" s="174" t="s">
        <v>2152</v>
      </c>
      <c r="I266" s="174" t="s">
        <v>2153</v>
      </c>
      <c r="J266" s="174" t="s">
        <v>2154</v>
      </c>
      <c r="K266" s="174" t="s">
        <v>2155</v>
      </c>
      <c r="L266" s="174" t="s">
        <v>2156</v>
      </c>
      <c r="M266" s="174" t="s">
        <v>2157</v>
      </c>
      <c r="N266" s="174" t="s">
        <v>2158</v>
      </c>
      <c r="Y266" s="174" t="s">
        <v>2159</v>
      </c>
      <c r="AA266" s="174" t="s">
        <v>2160</v>
      </c>
      <c r="AB266" s="174" t="s">
        <v>2023</v>
      </c>
      <c r="AC266" s="174" t="s">
        <v>2024</v>
      </c>
      <c r="AD266" s="174" t="s">
        <v>2139</v>
      </c>
      <c r="AE266" s="174" t="s">
        <v>2021</v>
      </c>
      <c r="AF266" s="174" t="s">
        <v>2161</v>
      </c>
      <c r="AG266" s="174" t="s">
        <v>2162</v>
      </c>
      <c r="AH266" s="174" t="s">
        <v>2163</v>
      </c>
      <c r="AI266" s="174" t="s">
        <v>2164</v>
      </c>
      <c r="AJ266" s="174" t="s">
        <v>2165</v>
      </c>
      <c r="AK266" s="174" t="s">
        <v>2166</v>
      </c>
      <c r="AU266" s="174" t="s">
        <v>248</v>
      </c>
      <c r="AV266" s="174" t="s">
        <v>248</v>
      </c>
      <c r="AW266" s="174" t="s">
        <v>248</v>
      </c>
    </row>
    <row r="267" spans="1:49" ht="13.35" customHeight="1" x14ac:dyDescent="0.2">
      <c r="A267" s="278" t="s">
        <v>4188</v>
      </c>
      <c r="B267" s="279" t="s">
        <v>4342</v>
      </c>
      <c r="E267" s="221" t="s">
        <v>2167</v>
      </c>
      <c r="F267" s="174">
        <v>25</v>
      </c>
      <c r="G267" s="174" t="s">
        <v>2013</v>
      </c>
      <c r="H267" s="174" t="s">
        <v>2168</v>
      </c>
      <c r="I267" s="174" t="s">
        <v>2169</v>
      </c>
      <c r="J267" s="174" t="s">
        <v>2170</v>
      </c>
      <c r="K267" s="174" t="s">
        <v>2171</v>
      </c>
      <c r="L267" s="174" t="s">
        <v>2172</v>
      </c>
      <c r="M267" s="174" t="s">
        <v>2173</v>
      </c>
      <c r="N267" s="174" t="s">
        <v>2174</v>
      </c>
      <c r="Y267" s="174" t="s">
        <v>2175</v>
      </c>
      <c r="Z267" s="174" t="s">
        <v>2047</v>
      </c>
      <c r="AA267" s="174" t="s">
        <v>2019</v>
      </c>
      <c r="AB267" s="174" t="s">
        <v>2020</v>
      </c>
      <c r="AC267" s="174" t="s">
        <v>2176</v>
      </c>
      <c r="AD267" s="174" t="s">
        <v>2177</v>
      </c>
      <c r="AE267" s="174" t="s">
        <v>2178</v>
      </c>
      <c r="AF267" s="174" t="s">
        <v>2030</v>
      </c>
      <c r="AG267" s="174" t="s">
        <v>2117</v>
      </c>
      <c r="AH267" s="174" t="s">
        <v>2164</v>
      </c>
      <c r="AI267" s="174" t="s">
        <v>2179</v>
      </c>
      <c r="AJ267" s="174" t="s">
        <v>2034</v>
      </c>
      <c r="AU267" s="174" t="s">
        <v>248</v>
      </c>
      <c r="AV267" s="174" t="s">
        <v>248</v>
      </c>
      <c r="AW267" s="174" t="s">
        <v>248</v>
      </c>
    </row>
    <row r="268" spans="1:49" ht="13.35" customHeight="1" x14ac:dyDescent="0.2">
      <c r="A268" s="278" t="s">
        <v>913</v>
      </c>
      <c r="B268" s="279" t="s">
        <v>4343</v>
      </c>
      <c r="E268" s="221" t="s">
        <v>2180</v>
      </c>
      <c r="F268" s="174">
        <v>95</v>
      </c>
      <c r="G268" s="174" t="s">
        <v>206</v>
      </c>
      <c r="H268" s="174" t="s">
        <v>2181</v>
      </c>
      <c r="I268" s="174" t="s">
        <v>2182</v>
      </c>
      <c r="J268" s="174" t="s">
        <v>2182</v>
      </c>
      <c r="K268" s="174" t="s">
        <v>2182</v>
      </c>
      <c r="L268" s="174" t="s">
        <v>2182</v>
      </c>
      <c r="M268" s="174" t="s">
        <v>2182</v>
      </c>
      <c r="N268" s="174" t="s">
        <v>2183</v>
      </c>
      <c r="Y268" s="174" t="s">
        <v>2071</v>
      </c>
      <c r="Z268" s="174" t="s">
        <v>2184</v>
      </c>
      <c r="AA268" s="174" t="s">
        <v>2185</v>
      </c>
      <c r="AB268" s="174" t="s">
        <v>2186</v>
      </c>
      <c r="AC268" s="174" t="s">
        <v>2187</v>
      </c>
      <c r="AD268" s="174" t="s">
        <v>2139</v>
      </c>
      <c r="AE268" s="174" t="s">
        <v>2188</v>
      </c>
      <c r="AF268" s="174" t="s">
        <v>2189</v>
      </c>
      <c r="AG268" s="174" t="s">
        <v>2139</v>
      </c>
      <c r="AH268" s="174" t="s">
        <v>2190</v>
      </c>
      <c r="AI268" s="174" t="s">
        <v>2191</v>
      </c>
      <c r="AU268" s="174" t="s">
        <v>248</v>
      </c>
      <c r="AV268" s="174" t="s">
        <v>248</v>
      </c>
      <c r="AW268" s="174" t="s">
        <v>248</v>
      </c>
    </row>
    <row r="269" spans="1:49" ht="13.35" customHeight="1" x14ac:dyDescent="0.2">
      <c r="A269" s="278" t="s">
        <v>4195</v>
      </c>
      <c r="B269" s="279" t="s">
        <v>4344</v>
      </c>
      <c r="E269" s="221" t="s">
        <v>2192</v>
      </c>
      <c r="F269" s="174">
        <v>32</v>
      </c>
      <c r="G269" s="174" t="s">
        <v>2013</v>
      </c>
      <c r="H269" s="174" t="s">
        <v>2193</v>
      </c>
      <c r="I269" s="174" t="s">
        <v>2194</v>
      </c>
      <c r="J269" s="174" t="s">
        <v>2195</v>
      </c>
      <c r="K269" s="174" t="s">
        <v>2196</v>
      </c>
      <c r="L269" s="174" t="s">
        <v>2197</v>
      </c>
      <c r="Y269" s="174" t="s">
        <v>2178</v>
      </c>
      <c r="Z269" s="174" t="s">
        <v>2198</v>
      </c>
      <c r="AA269" s="174" t="s">
        <v>2199</v>
      </c>
      <c r="AB269" s="174" t="s">
        <v>2200</v>
      </c>
      <c r="AC269" s="174" t="s">
        <v>2139</v>
      </c>
      <c r="AD269" s="174" t="s">
        <v>2077</v>
      </c>
      <c r="AE269" s="174" t="s">
        <v>2160</v>
      </c>
      <c r="AF269" s="174" t="s">
        <v>2179</v>
      </c>
      <c r="AG269" s="174" t="s">
        <v>2201</v>
      </c>
      <c r="AH269" s="174" t="s">
        <v>2202</v>
      </c>
      <c r="AI269" s="174" t="s">
        <v>2139</v>
      </c>
      <c r="AU269" s="174" t="s">
        <v>248</v>
      </c>
      <c r="AV269" s="174" t="s">
        <v>248</v>
      </c>
      <c r="AW269" s="174" t="s">
        <v>248</v>
      </c>
    </row>
    <row r="270" spans="1:49" ht="13.35" customHeight="1" x14ac:dyDescent="0.2">
      <c r="A270" s="278" t="s">
        <v>4183</v>
      </c>
      <c r="B270" s="279" t="s">
        <v>4345</v>
      </c>
      <c r="E270" s="221" t="s">
        <v>2203</v>
      </c>
      <c r="F270" s="174">
        <v>84</v>
      </c>
      <c r="G270" s="174" t="s">
        <v>206</v>
      </c>
      <c r="H270" s="174" t="s">
        <v>2204</v>
      </c>
      <c r="I270" s="174" t="s">
        <v>2205</v>
      </c>
      <c r="J270" s="174" t="s">
        <v>2206</v>
      </c>
      <c r="K270" s="174" t="s">
        <v>2207</v>
      </c>
      <c r="L270" s="174" t="s">
        <v>2208</v>
      </c>
      <c r="Y270" s="174" t="s">
        <v>2046</v>
      </c>
      <c r="Z270" s="174" t="s">
        <v>2209</v>
      </c>
      <c r="AA270" s="174" t="s">
        <v>2139</v>
      </c>
      <c r="AB270" s="174" t="s">
        <v>2210</v>
      </c>
      <c r="AC270" s="174" t="s">
        <v>2211</v>
      </c>
      <c r="AD270" s="174" t="s">
        <v>2212</v>
      </c>
      <c r="AE270" s="174" t="s">
        <v>2160</v>
      </c>
      <c r="AF270" s="174" t="s">
        <v>2213</v>
      </c>
      <c r="AG270" s="174" t="s">
        <v>2214</v>
      </c>
      <c r="AU270" s="174" t="s">
        <v>248</v>
      </c>
      <c r="AV270" s="174" t="s">
        <v>248</v>
      </c>
      <c r="AW270" s="174" t="s">
        <v>223</v>
      </c>
    </row>
    <row r="271" spans="1:49" ht="13.35" customHeight="1" x14ac:dyDescent="0.2">
      <c r="A271" s="278" t="s">
        <v>4193</v>
      </c>
      <c r="B271" s="279" t="s">
        <v>4346</v>
      </c>
      <c r="E271" s="221" t="s">
        <v>2215</v>
      </c>
      <c r="F271" s="174">
        <v>28</v>
      </c>
      <c r="G271" s="174" t="s">
        <v>2013</v>
      </c>
      <c r="H271" s="174" t="s">
        <v>2216</v>
      </c>
      <c r="I271" s="174" t="s">
        <v>2217</v>
      </c>
      <c r="J271" s="174" t="s">
        <v>2218</v>
      </c>
      <c r="K271" s="174" t="s">
        <v>2219</v>
      </c>
      <c r="L271" s="174" t="s">
        <v>2220</v>
      </c>
      <c r="M271" s="174" t="s">
        <v>2221</v>
      </c>
      <c r="N271" s="174" t="s">
        <v>2222</v>
      </c>
      <c r="O271" s="174" t="s">
        <v>2223</v>
      </c>
      <c r="Y271" s="174" t="s">
        <v>2224</v>
      </c>
      <c r="Z271" s="174" t="s">
        <v>2186</v>
      </c>
      <c r="AA271" s="174" t="s">
        <v>2225</v>
      </c>
      <c r="AB271" s="174" t="s">
        <v>2068</v>
      </c>
      <c r="AC271" s="174" t="s">
        <v>2226</v>
      </c>
      <c r="AD271" s="174" t="s">
        <v>2186</v>
      </c>
      <c r="AU271" s="174" t="s">
        <v>248</v>
      </c>
      <c r="AV271" s="174" t="s">
        <v>248</v>
      </c>
      <c r="AW271" s="174" t="s">
        <v>248</v>
      </c>
    </row>
    <row r="272" spans="1:49" ht="13.35" customHeight="1" x14ac:dyDescent="0.2">
      <c r="A272" s="278" t="s">
        <v>977</v>
      </c>
      <c r="B272" s="279" t="s">
        <v>4347</v>
      </c>
      <c r="E272" s="221" t="s">
        <v>2227</v>
      </c>
      <c r="F272" s="174">
        <v>110</v>
      </c>
      <c r="G272" s="174" t="s">
        <v>206</v>
      </c>
      <c r="H272" s="174" t="s">
        <v>2014</v>
      </c>
      <c r="I272" s="174" t="s">
        <v>2228</v>
      </c>
      <c r="J272" s="174" t="s">
        <v>2228</v>
      </c>
      <c r="K272" s="174" t="s">
        <v>2229</v>
      </c>
      <c r="L272" s="174" t="s">
        <v>2230</v>
      </c>
      <c r="Y272" s="174" t="s">
        <v>2231</v>
      </c>
      <c r="Z272" s="174" t="s">
        <v>2232</v>
      </c>
      <c r="AA272" s="174" t="s">
        <v>2233</v>
      </c>
      <c r="AB272" s="174" t="s">
        <v>2234</v>
      </c>
      <c r="AC272" s="174" t="s">
        <v>2162</v>
      </c>
      <c r="AD272" s="174" t="s">
        <v>2235</v>
      </c>
      <c r="AE272" s="174" t="s">
        <v>2160</v>
      </c>
      <c r="AF272" s="174" t="s">
        <v>2165</v>
      </c>
      <c r="AG272" s="174" t="s">
        <v>2160</v>
      </c>
      <c r="AH272" s="174" t="s">
        <v>2236</v>
      </c>
      <c r="AI272" s="174" t="s">
        <v>2237</v>
      </c>
      <c r="AJ272" s="174" t="s">
        <v>2238</v>
      </c>
      <c r="AK272" s="174" t="s">
        <v>2139</v>
      </c>
      <c r="AU272" s="174" t="s">
        <v>248</v>
      </c>
      <c r="AV272" s="174" t="s">
        <v>248</v>
      </c>
      <c r="AW272" s="174" t="s">
        <v>248</v>
      </c>
    </row>
    <row r="273" spans="1:49" ht="13.35" customHeight="1" x14ac:dyDescent="0.2">
      <c r="A273" s="278" t="s">
        <v>976</v>
      </c>
      <c r="B273" s="279" t="s">
        <v>4347</v>
      </c>
      <c r="E273" s="221" t="s">
        <v>2239</v>
      </c>
      <c r="F273" s="174">
        <v>37</v>
      </c>
      <c r="G273" s="174" t="s">
        <v>2013</v>
      </c>
      <c r="H273" s="174" t="s">
        <v>2152</v>
      </c>
      <c r="I273" s="174" t="s">
        <v>2153</v>
      </c>
      <c r="J273" s="174" t="s">
        <v>2240</v>
      </c>
      <c r="K273" s="174" t="s">
        <v>2241</v>
      </c>
      <c r="L273" s="174" t="s">
        <v>2242</v>
      </c>
      <c r="M273" s="174" t="s">
        <v>2243</v>
      </c>
      <c r="Y273" s="174" t="s">
        <v>2244</v>
      </c>
      <c r="Z273" s="174" t="s">
        <v>2245</v>
      </c>
      <c r="AA273" s="174" t="s">
        <v>2160</v>
      </c>
      <c r="AB273" s="174" t="s">
        <v>2246</v>
      </c>
      <c r="AC273" s="174" t="s">
        <v>2247</v>
      </c>
      <c r="AD273" s="174" t="s">
        <v>2248</v>
      </c>
      <c r="AE273" s="174" t="s">
        <v>2139</v>
      </c>
      <c r="AF273" s="174" t="s">
        <v>2113</v>
      </c>
      <c r="AG273" s="174" t="s">
        <v>2028</v>
      </c>
      <c r="AH273" s="174" t="s">
        <v>2178</v>
      </c>
      <c r="AI273" s="174" t="s">
        <v>2030</v>
      </c>
      <c r="AU273" s="174" t="s">
        <v>248</v>
      </c>
      <c r="AV273" s="174" t="s">
        <v>248</v>
      </c>
      <c r="AW273" s="174" t="s">
        <v>248</v>
      </c>
    </row>
    <row r="274" spans="1:49" ht="13.35" customHeight="1" x14ac:dyDescent="0.2">
      <c r="A274" s="278" t="s">
        <v>4198</v>
      </c>
      <c r="B274" s="279" t="s">
        <v>4348</v>
      </c>
      <c r="E274" s="221" t="s">
        <v>2249</v>
      </c>
      <c r="F274" s="174">
        <v>33</v>
      </c>
      <c r="G274" s="174" t="s">
        <v>206</v>
      </c>
      <c r="H274" s="174" t="s">
        <v>2250</v>
      </c>
      <c r="I274" s="174" t="s">
        <v>2251</v>
      </c>
      <c r="J274" s="174" t="s">
        <v>2252</v>
      </c>
      <c r="K274" s="174" t="s">
        <v>2253</v>
      </c>
      <c r="L274" s="174" t="s">
        <v>2254</v>
      </c>
      <c r="M274" s="174" t="s">
        <v>2243</v>
      </c>
      <c r="Y274" s="174" t="s">
        <v>2113</v>
      </c>
      <c r="Z274" s="174" t="s">
        <v>2255</v>
      </c>
      <c r="AA274" s="174" t="s">
        <v>2256</v>
      </c>
      <c r="AB274" s="174" t="s">
        <v>2257</v>
      </c>
      <c r="AC274" s="174" t="s">
        <v>2258</v>
      </c>
      <c r="AD274" s="174" t="s">
        <v>2139</v>
      </c>
      <c r="AE274" s="174" t="s">
        <v>2259</v>
      </c>
      <c r="AF274" s="174" t="s">
        <v>2139</v>
      </c>
      <c r="AG274" s="174" t="s">
        <v>2202</v>
      </c>
      <c r="AH274" s="174" t="s">
        <v>2139</v>
      </c>
      <c r="AU274" s="174" t="s">
        <v>248</v>
      </c>
      <c r="AV274" s="174" t="s">
        <v>248</v>
      </c>
      <c r="AW274" s="174" t="s">
        <v>248</v>
      </c>
    </row>
    <row r="275" spans="1:49" ht="13.35" customHeight="1" x14ac:dyDescent="0.2">
      <c r="A275" s="278" t="s">
        <v>4349</v>
      </c>
      <c r="B275" s="279" t="s">
        <v>4350</v>
      </c>
      <c r="E275" s="221" t="s">
        <v>2260</v>
      </c>
      <c r="F275" s="174">
        <v>48</v>
      </c>
      <c r="G275" s="174" t="s">
        <v>2261</v>
      </c>
      <c r="H275" s="174" t="s">
        <v>2262</v>
      </c>
      <c r="I275" s="174" t="s">
        <v>2263</v>
      </c>
      <c r="J275" s="174" t="s">
        <v>2264</v>
      </c>
      <c r="K275" s="174" t="s">
        <v>2254</v>
      </c>
      <c r="L275" s="174" t="s">
        <v>2265</v>
      </c>
      <c r="M275" s="174" t="s">
        <v>2266</v>
      </c>
      <c r="N275" s="174" t="s">
        <v>2267</v>
      </c>
      <c r="O275" s="174" t="s">
        <v>2268</v>
      </c>
      <c r="Y275" s="174" t="s">
        <v>2269</v>
      </c>
      <c r="Z275" s="174" t="s">
        <v>2270</v>
      </c>
      <c r="AA275" s="174" t="s">
        <v>2271</v>
      </c>
      <c r="AB275" s="174" t="s">
        <v>2178</v>
      </c>
      <c r="AC275" s="174" t="s">
        <v>2198</v>
      </c>
      <c r="AD275" s="174" t="s">
        <v>2231</v>
      </c>
      <c r="AE275" s="174" t="s">
        <v>2272</v>
      </c>
      <c r="AF275" s="174" t="s">
        <v>2273</v>
      </c>
      <c r="AG275" s="174" t="s">
        <v>2071</v>
      </c>
      <c r="AH275" s="174" t="s">
        <v>2274</v>
      </c>
      <c r="AI275" s="174" t="s">
        <v>2275</v>
      </c>
      <c r="AJ275" s="174" t="s">
        <v>2276</v>
      </c>
      <c r="AK275" s="174" t="s">
        <v>2277</v>
      </c>
      <c r="AU275" s="174" t="s">
        <v>248</v>
      </c>
      <c r="AV275" s="174" t="s">
        <v>248</v>
      </c>
      <c r="AW275" s="174" t="s">
        <v>248</v>
      </c>
    </row>
    <row r="276" spans="1:49" ht="13.35" customHeight="1" x14ac:dyDescent="0.2">
      <c r="A276" s="278" t="s">
        <v>4361</v>
      </c>
      <c r="B276" s="279" t="s">
        <v>4351</v>
      </c>
      <c r="E276" s="221" t="s">
        <v>2278</v>
      </c>
      <c r="F276" s="174">
        <v>18</v>
      </c>
      <c r="G276" s="174" t="s">
        <v>206</v>
      </c>
      <c r="H276" s="174" t="s">
        <v>2279</v>
      </c>
      <c r="I276" s="174" t="s">
        <v>2280</v>
      </c>
      <c r="J276" s="174" t="s">
        <v>2281</v>
      </c>
      <c r="K276" s="174" t="s">
        <v>2282</v>
      </c>
      <c r="L276" s="174" t="s">
        <v>2283</v>
      </c>
      <c r="M276" s="174" t="s">
        <v>2284</v>
      </c>
      <c r="N276" s="174" t="s">
        <v>2285</v>
      </c>
      <c r="Y276" s="174" t="s">
        <v>2048</v>
      </c>
      <c r="Z276" s="174" t="s">
        <v>2286</v>
      </c>
      <c r="AA276" s="174" t="s">
        <v>2287</v>
      </c>
      <c r="AB276" s="174" t="s">
        <v>2288</v>
      </c>
      <c r="AC276" s="174" t="s">
        <v>2289</v>
      </c>
      <c r="AD276" s="174" t="s">
        <v>2290</v>
      </c>
      <c r="AE276" s="174" t="s">
        <v>2034</v>
      </c>
      <c r="AF276" s="174" t="s">
        <v>2291</v>
      </c>
      <c r="AG276" s="174" t="s">
        <v>2292</v>
      </c>
      <c r="AH276" s="174" t="s">
        <v>2293</v>
      </c>
      <c r="AU276" s="174" t="s">
        <v>248</v>
      </c>
      <c r="AV276" s="174" t="s">
        <v>248</v>
      </c>
      <c r="AW276" s="174" t="s">
        <v>248</v>
      </c>
    </row>
    <row r="277" spans="1:49" ht="13.35" customHeight="1" x14ac:dyDescent="0.2">
      <c r="A277" s="278" t="s">
        <v>4360</v>
      </c>
      <c r="B277" s="279" t="s">
        <v>4352</v>
      </c>
      <c r="E277" s="221" t="s">
        <v>2294</v>
      </c>
      <c r="F277" s="174">
        <v>66</v>
      </c>
      <c r="G277" s="174" t="s">
        <v>206</v>
      </c>
      <c r="H277" s="174" t="s">
        <v>2295</v>
      </c>
      <c r="I277" s="174" t="s">
        <v>2296</v>
      </c>
      <c r="J277" s="174" t="s">
        <v>2297</v>
      </c>
      <c r="K277" s="174" t="s">
        <v>2298</v>
      </c>
      <c r="L277" s="174" t="s">
        <v>2299</v>
      </c>
      <c r="Y277" s="174" t="s">
        <v>2236</v>
      </c>
      <c r="Z277" s="174" t="s">
        <v>2237</v>
      </c>
      <c r="AA277" s="174" t="s">
        <v>2248</v>
      </c>
      <c r="AB277" s="174" t="s">
        <v>2024</v>
      </c>
      <c r="AC277" s="174" t="s">
        <v>2300</v>
      </c>
      <c r="AD277" s="174" t="s">
        <v>2026</v>
      </c>
      <c r="AE277" s="174" t="s">
        <v>2178</v>
      </c>
      <c r="AF277" s="174" t="s">
        <v>2030</v>
      </c>
      <c r="AG277" s="174" t="s">
        <v>2162</v>
      </c>
      <c r="AH277" s="174" t="s">
        <v>2068</v>
      </c>
      <c r="AI277" s="174" t="s">
        <v>2224</v>
      </c>
      <c r="AJ277" s="174" t="s">
        <v>2034</v>
      </c>
      <c r="AK277" s="174" t="s">
        <v>2160</v>
      </c>
      <c r="AU277" s="174" t="s">
        <v>248</v>
      </c>
      <c r="AV277" s="174" t="s">
        <v>248</v>
      </c>
      <c r="AW277" s="174" t="s">
        <v>2301</v>
      </c>
    </row>
    <row r="278" spans="1:49" ht="13.35" customHeight="1" x14ac:dyDescent="0.2">
      <c r="A278" s="278" t="s">
        <v>4199</v>
      </c>
      <c r="B278" s="279" t="s">
        <v>4353</v>
      </c>
      <c r="E278" s="221" t="s">
        <v>2302</v>
      </c>
      <c r="F278" s="174">
        <v>42</v>
      </c>
      <c r="G278" s="174" t="s">
        <v>2261</v>
      </c>
      <c r="H278" s="174" t="s">
        <v>2303</v>
      </c>
      <c r="I278" s="174" t="s">
        <v>2304</v>
      </c>
      <c r="J278" s="174" t="s">
        <v>2305</v>
      </c>
      <c r="K278" s="174" t="s">
        <v>2306</v>
      </c>
      <c r="L278" s="174" t="s">
        <v>2307</v>
      </c>
      <c r="M278" s="174" t="s">
        <v>2308</v>
      </c>
      <c r="N278" s="174" t="s">
        <v>2309</v>
      </c>
      <c r="O278" s="174" t="s">
        <v>2310</v>
      </c>
      <c r="Y278" s="174" t="s">
        <v>2311</v>
      </c>
      <c r="Z278" s="174" t="s">
        <v>2160</v>
      </c>
      <c r="AA278" s="174" t="s">
        <v>2312</v>
      </c>
      <c r="AB278" s="174" t="s">
        <v>2313</v>
      </c>
      <c r="AC278" s="174" t="s">
        <v>2050</v>
      </c>
      <c r="AD278" s="174" t="s">
        <v>2160</v>
      </c>
      <c r="AE278" s="174" t="s">
        <v>2115</v>
      </c>
      <c r="AF278" s="174" t="s">
        <v>2314</v>
      </c>
      <c r="AG278" s="174" t="s">
        <v>2315</v>
      </c>
      <c r="AU278" s="174" t="s">
        <v>248</v>
      </c>
      <c r="AV278" s="174" t="s">
        <v>248</v>
      </c>
      <c r="AW278" s="174" t="s">
        <v>248</v>
      </c>
    </row>
    <row r="279" spans="1:49" ht="13.35" customHeight="1" x14ac:dyDescent="0.2">
      <c r="A279" s="278" t="s">
        <v>899</v>
      </c>
      <c r="B279" s="279" t="s">
        <v>4354</v>
      </c>
      <c r="E279" s="221" t="s">
        <v>2316</v>
      </c>
      <c r="F279" s="174">
        <v>116</v>
      </c>
      <c r="G279" s="174" t="s">
        <v>206</v>
      </c>
      <c r="H279" s="174" t="s">
        <v>2317</v>
      </c>
      <c r="I279" s="174" t="s">
        <v>2130</v>
      </c>
      <c r="J279" s="174" t="s">
        <v>2318</v>
      </c>
      <c r="K279" s="174" t="s">
        <v>2319</v>
      </c>
      <c r="L279" s="174" t="s">
        <v>2320</v>
      </c>
      <c r="M279" s="174" t="s">
        <v>2321</v>
      </c>
      <c r="Y279" s="174" t="s">
        <v>2322</v>
      </c>
      <c r="Z279" s="174" t="s">
        <v>2323</v>
      </c>
      <c r="AA279" s="174" t="s">
        <v>2324</v>
      </c>
      <c r="AB279" s="174" t="s">
        <v>2047</v>
      </c>
      <c r="AC279" s="174" t="s">
        <v>2025</v>
      </c>
      <c r="AD279" s="174" t="s">
        <v>2047</v>
      </c>
      <c r="AE279" s="174" t="s">
        <v>2113</v>
      </c>
      <c r="AF279" s="174" t="s">
        <v>2139</v>
      </c>
      <c r="AG279" s="174" t="s">
        <v>2325</v>
      </c>
      <c r="AH279" s="174" t="s">
        <v>2160</v>
      </c>
      <c r="AI279" s="174" t="s">
        <v>2258</v>
      </c>
      <c r="AJ279" s="174" t="s">
        <v>2139</v>
      </c>
      <c r="AK279" s="174" t="s">
        <v>2326</v>
      </c>
      <c r="AL279" s="174" t="s">
        <v>2327</v>
      </c>
      <c r="AU279" s="174" t="s">
        <v>248</v>
      </c>
      <c r="AV279" s="174" t="s">
        <v>248</v>
      </c>
      <c r="AW279" s="174" t="s">
        <v>217</v>
      </c>
    </row>
    <row r="280" spans="1:49" ht="13.35" customHeight="1" x14ac:dyDescent="0.2">
      <c r="A280" s="278" t="s">
        <v>1058</v>
      </c>
      <c r="B280" s="279" t="s">
        <v>4355</v>
      </c>
      <c r="E280" s="221" t="s">
        <v>2328</v>
      </c>
      <c r="F280" s="174">
        <v>33</v>
      </c>
      <c r="G280" s="174" t="s">
        <v>2261</v>
      </c>
      <c r="H280" s="174" t="s">
        <v>2329</v>
      </c>
      <c r="I280" s="174" t="s">
        <v>2330</v>
      </c>
      <c r="J280" s="174" t="s">
        <v>2331</v>
      </c>
      <c r="K280" s="174" t="s">
        <v>2332</v>
      </c>
      <c r="L280" s="174" t="s">
        <v>2333</v>
      </c>
      <c r="M280" s="174" t="s">
        <v>2334</v>
      </c>
      <c r="N280" s="174" t="s">
        <v>2335</v>
      </c>
      <c r="O280" s="174" t="s">
        <v>2336</v>
      </c>
      <c r="P280" s="174" t="s">
        <v>2337</v>
      </c>
      <c r="Q280" s="174" t="s">
        <v>2338</v>
      </c>
      <c r="R280" s="174" t="s">
        <v>2339</v>
      </c>
      <c r="S280" s="174" t="s">
        <v>2340</v>
      </c>
      <c r="T280" s="174" t="s">
        <v>2341</v>
      </c>
      <c r="Y280" s="174" t="s">
        <v>2226</v>
      </c>
      <c r="Z280" s="174" t="s">
        <v>2342</v>
      </c>
      <c r="AA280" s="174" t="s">
        <v>2162</v>
      </c>
      <c r="AB280" s="174" t="s">
        <v>2343</v>
      </c>
      <c r="AC280" s="174" t="s">
        <v>2165</v>
      </c>
      <c r="AD280" s="174" t="s">
        <v>2344</v>
      </c>
      <c r="AE280" s="174" t="s">
        <v>2345</v>
      </c>
      <c r="AF280" s="174" t="s">
        <v>2346</v>
      </c>
      <c r="AG280" s="174" t="s">
        <v>2139</v>
      </c>
      <c r="AU280" s="174" t="s">
        <v>248</v>
      </c>
      <c r="AV280" s="174" t="s">
        <v>248</v>
      </c>
      <c r="AW280" s="174" t="s">
        <v>248</v>
      </c>
    </row>
    <row r="281" spans="1:49" ht="13.35" customHeight="1" x14ac:dyDescent="0.2">
      <c r="A281" s="278" t="s">
        <v>4200</v>
      </c>
      <c r="B281" s="279" t="s">
        <v>4356</v>
      </c>
      <c r="E281" s="221" t="s">
        <v>2347</v>
      </c>
      <c r="F281" s="174">
        <v>35</v>
      </c>
      <c r="G281" s="174" t="s">
        <v>2348</v>
      </c>
      <c r="H281" s="174" t="s">
        <v>2349</v>
      </c>
      <c r="I281" s="174" t="s">
        <v>2350</v>
      </c>
      <c r="J281" s="174" t="s">
        <v>2351</v>
      </c>
      <c r="K281" s="174" t="s">
        <v>2352</v>
      </c>
      <c r="L281" s="174" t="s">
        <v>2353</v>
      </c>
      <c r="Y281" s="174" t="s">
        <v>2354</v>
      </c>
      <c r="Z281" s="174" t="s">
        <v>724</v>
      </c>
      <c r="AA281" s="174" t="s">
        <v>2027</v>
      </c>
      <c r="AB281" s="174" t="s">
        <v>2355</v>
      </c>
      <c r="AC281" s="174" t="s">
        <v>2356</v>
      </c>
      <c r="AD281" s="174" t="s">
        <v>2357</v>
      </c>
      <c r="AE281" s="174" t="s">
        <v>2358</v>
      </c>
      <c r="AF281" s="174" t="s">
        <v>2359</v>
      </c>
      <c r="AG281" s="174" t="s">
        <v>2345</v>
      </c>
      <c r="AH281" s="174" t="s">
        <v>2360</v>
      </c>
      <c r="AU281" s="174" t="s">
        <v>248</v>
      </c>
      <c r="AV281" s="174" t="s">
        <v>248</v>
      </c>
      <c r="AW281" s="174" t="s">
        <v>248</v>
      </c>
    </row>
    <row r="282" spans="1:49" ht="13.35" customHeight="1" x14ac:dyDescent="0.2">
      <c r="A282" s="278" t="s">
        <v>4359</v>
      </c>
      <c r="B282" s="279" t="s">
        <v>4357</v>
      </c>
      <c r="E282" s="221" t="s">
        <v>2361</v>
      </c>
      <c r="F282" s="174">
        <v>18</v>
      </c>
      <c r="G282" s="174" t="s">
        <v>2261</v>
      </c>
      <c r="H282" s="174" t="s">
        <v>2362</v>
      </c>
      <c r="I282" s="174" t="s">
        <v>2362</v>
      </c>
      <c r="J282" s="174" t="s">
        <v>2362</v>
      </c>
      <c r="K282" s="174" t="s">
        <v>2363</v>
      </c>
      <c r="L282" s="174" t="s">
        <v>2364</v>
      </c>
      <c r="M282" s="174" t="s">
        <v>2365</v>
      </c>
      <c r="Y282" s="174" t="s">
        <v>2366</v>
      </c>
      <c r="Z282" s="174" t="s">
        <v>2139</v>
      </c>
      <c r="AA282" s="174" t="s">
        <v>2345</v>
      </c>
      <c r="AB282" s="174" t="s">
        <v>2367</v>
      </c>
      <c r="AC282" s="174" t="s">
        <v>2368</v>
      </c>
      <c r="AD282" s="174" t="s">
        <v>2358</v>
      </c>
      <c r="AE282" s="174" t="s">
        <v>2072</v>
      </c>
      <c r="AF282" s="174" t="s">
        <v>2073</v>
      </c>
      <c r="AG282" s="174" t="s">
        <v>2226</v>
      </c>
      <c r="AH282" s="174" t="s">
        <v>2369</v>
      </c>
      <c r="AI282" s="174" t="s">
        <v>2256</v>
      </c>
      <c r="AJ282" s="174" t="s">
        <v>2370</v>
      </c>
      <c r="AK282" s="174" t="s">
        <v>2371</v>
      </c>
      <c r="AL282" s="174" t="s">
        <v>2077</v>
      </c>
      <c r="AM282" s="174" t="s">
        <v>2079</v>
      </c>
      <c r="AN282" s="174" t="s">
        <v>2078</v>
      </c>
      <c r="AU282" s="174" t="s">
        <v>248</v>
      </c>
      <c r="AV282" s="174" t="s">
        <v>248</v>
      </c>
      <c r="AW282" s="174" t="s">
        <v>217</v>
      </c>
    </row>
    <row r="283" spans="1:49" ht="13.35" customHeight="1" x14ac:dyDescent="0.2">
      <c r="A283" s="278" t="s">
        <v>4189</v>
      </c>
      <c r="B283" s="279" t="s">
        <v>4358</v>
      </c>
      <c r="E283" s="221" t="s">
        <v>2372</v>
      </c>
      <c r="F283" s="174">
        <v>69</v>
      </c>
      <c r="G283" s="174" t="s">
        <v>206</v>
      </c>
      <c r="H283" s="174" t="s">
        <v>2373</v>
      </c>
      <c r="I283" s="174" t="s">
        <v>2374</v>
      </c>
      <c r="J283" s="174" t="s">
        <v>2375</v>
      </c>
      <c r="K283" s="174" t="s">
        <v>2295</v>
      </c>
      <c r="L283" s="174" t="s">
        <v>2376</v>
      </c>
      <c r="M283" s="174" t="s">
        <v>2377</v>
      </c>
      <c r="N283" s="174" t="s">
        <v>2349</v>
      </c>
      <c r="O283" s="174" t="s">
        <v>2378</v>
      </c>
      <c r="P283" s="174" t="s">
        <v>2379</v>
      </c>
      <c r="Q283" s="174" t="s">
        <v>2380</v>
      </c>
      <c r="Y283" s="174" t="s">
        <v>2381</v>
      </c>
      <c r="Z283" s="174" t="s">
        <v>2047</v>
      </c>
      <c r="AA283" s="174" t="s">
        <v>2382</v>
      </c>
      <c r="AB283" s="174" t="s">
        <v>2383</v>
      </c>
      <c r="AC283" s="174" t="s">
        <v>2384</v>
      </c>
      <c r="AD283" s="174" t="s">
        <v>2385</v>
      </c>
      <c r="AE283" s="174" t="s">
        <v>2139</v>
      </c>
      <c r="AF283" s="174" t="s">
        <v>2162</v>
      </c>
      <c r="AG283" s="174" t="s">
        <v>2386</v>
      </c>
      <c r="AH283" s="174" t="s">
        <v>2387</v>
      </c>
      <c r="AI283" s="174" t="s">
        <v>2388</v>
      </c>
      <c r="AJ283" s="174" t="s">
        <v>2140</v>
      </c>
      <c r="AK283" s="174" t="s">
        <v>2389</v>
      </c>
      <c r="AU283" s="174" t="s">
        <v>248</v>
      </c>
      <c r="AV283" s="174" t="s">
        <v>248</v>
      </c>
      <c r="AW283" s="174" t="s">
        <v>2390</v>
      </c>
    </row>
    <row r="284" spans="1:49" ht="13.35" customHeight="1" x14ac:dyDescent="0.2">
      <c r="A284" s="278" t="s">
        <v>4388</v>
      </c>
      <c r="B284" s="279" t="s">
        <v>4389</v>
      </c>
      <c r="E284" s="221" t="s">
        <v>2391</v>
      </c>
      <c r="F284" s="174">
        <v>40</v>
      </c>
      <c r="G284" s="174" t="s">
        <v>206</v>
      </c>
      <c r="H284" s="174" t="s">
        <v>2392</v>
      </c>
      <c r="I284" s="174" t="s">
        <v>2393</v>
      </c>
      <c r="J284" s="174" t="s">
        <v>2394</v>
      </c>
      <c r="K284" s="174" t="s">
        <v>2395</v>
      </c>
      <c r="L284" s="174" t="s">
        <v>2396</v>
      </c>
      <c r="Y284" s="174" t="s">
        <v>2397</v>
      </c>
      <c r="Z284" s="174" t="s">
        <v>2327</v>
      </c>
      <c r="AA284" s="174" t="s">
        <v>2048</v>
      </c>
      <c r="AB284" s="174" t="s">
        <v>2049</v>
      </c>
      <c r="AC284" s="174" t="s">
        <v>2398</v>
      </c>
      <c r="AD284" s="174" t="s">
        <v>2139</v>
      </c>
      <c r="AE284" s="174" t="s">
        <v>2399</v>
      </c>
      <c r="AF284" s="174" t="s">
        <v>2400</v>
      </c>
      <c r="AU284" s="174" t="s">
        <v>248</v>
      </c>
      <c r="AV284" s="174" t="s">
        <v>248</v>
      </c>
      <c r="AW284" s="174" t="s">
        <v>248</v>
      </c>
    </row>
    <row r="285" spans="1:49" ht="13.35" customHeight="1" x14ac:dyDescent="0.2">
      <c r="A285" s="278" t="s">
        <v>4393</v>
      </c>
      <c r="B285" s="279" t="s">
        <v>4362</v>
      </c>
      <c r="E285" s="221" t="s">
        <v>2401</v>
      </c>
      <c r="F285" s="174">
        <v>120</v>
      </c>
      <c r="G285" s="174" t="s">
        <v>206</v>
      </c>
      <c r="H285" s="174" t="s">
        <v>2402</v>
      </c>
      <c r="I285" s="174" t="s">
        <v>2403</v>
      </c>
      <c r="J285" s="174" t="s">
        <v>2404</v>
      </c>
      <c r="K285" s="174" t="s">
        <v>2405</v>
      </c>
      <c r="L285" s="174" t="s">
        <v>2406</v>
      </c>
      <c r="M285" s="174" t="s">
        <v>2407</v>
      </c>
      <c r="Y285" s="174" t="s">
        <v>2408</v>
      </c>
      <c r="Z285" s="174" t="s">
        <v>2409</v>
      </c>
      <c r="AA285" s="174" t="s">
        <v>2410</v>
      </c>
      <c r="AB285" s="174" t="s">
        <v>2411</v>
      </c>
      <c r="AC285" s="174" t="s">
        <v>2412</v>
      </c>
      <c r="AD285" s="174" t="s">
        <v>2139</v>
      </c>
      <c r="AE285" s="174" t="s">
        <v>2413</v>
      </c>
      <c r="AF285" s="174" t="s">
        <v>2414</v>
      </c>
      <c r="AG285" s="174" t="s">
        <v>2415</v>
      </c>
      <c r="AH285" s="174" t="s">
        <v>2416</v>
      </c>
      <c r="AU285" s="174" t="s">
        <v>248</v>
      </c>
      <c r="AV285" s="174" t="s">
        <v>248</v>
      </c>
      <c r="AW285" s="174" t="s">
        <v>231</v>
      </c>
    </row>
    <row r="286" spans="1:49" ht="13.35" customHeight="1" x14ac:dyDescent="0.2">
      <c r="A286" s="278" t="s">
        <v>4172</v>
      </c>
      <c r="B286" s="279" t="s">
        <v>4363</v>
      </c>
      <c r="E286" s="221" t="s">
        <v>2417</v>
      </c>
      <c r="F286" s="174">
        <v>73</v>
      </c>
      <c r="G286" s="174" t="s">
        <v>206</v>
      </c>
      <c r="H286" s="174" t="s">
        <v>2418</v>
      </c>
      <c r="I286" s="174" t="s">
        <v>2419</v>
      </c>
      <c r="J286" s="174" t="s">
        <v>2420</v>
      </c>
      <c r="K286" s="174" t="s">
        <v>2421</v>
      </c>
      <c r="L286" s="174" t="s">
        <v>2422</v>
      </c>
      <c r="M286" s="174" t="s">
        <v>2423</v>
      </c>
      <c r="Y286" s="174" t="s">
        <v>2424</v>
      </c>
      <c r="Z286" s="174" t="s">
        <v>2425</v>
      </c>
      <c r="AA286" s="174" t="s">
        <v>2426</v>
      </c>
      <c r="AB286" s="174" t="s">
        <v>2427</v>
      </c>
      <c r="AC286" s="174" t="s">
        <v>2425</v>
      </c>
      <c r="AD286" s="174" t="s">
        <v>2426</v>
      </c>
      <c r="AE286" s="174" t="s">
        <v>2428</v>
      </c>
      <c r="AF286" s="174" t="s">
        <v>2047</v>
      </c>
      <c r="AG286" s="174" t="s">
        <v>2162</v>
      </c>
      <c r="AH286" s="174" t="s">
        <v>2160</v>
      </c>
      <c r="AU286" s="174" t="s">
        <v>248</v>
      </c>
      <c r="AV286" s="174" t="s">
        <v>248</v>
      </c>
      <c r="AW286" s="174" t="s">
        <v>2429</v>
      </c>
    </row>
    <row r="287" spans="1:49" ht="13.35" customHeight="1" x14ac:dyDescent="0.2">
      <c r="A287" s="278" t="s">
        <v>4364</v>
      </c>
      <c r="B287" s="279" t="s">
        <v>4365</v>
      </c>
      <c r="E287" s="221" t="s">
        <v>2430</v>
      </c>
      <c r="F287" s="174">
        <v>80</v>
      </c>
      <c r="G287" s="174" t="s">
        <v>2261</v>
      </c>
      <c r="H287" s="174" t="s">
        <v>2431</v>
      </c>
      <c r="I287" s="174" t="s">
        <v>2432</v>
      </c>
      <c r="J287" s="174" t="s">
        <v>2377</v>
      </c>
      <c r="K287" s="174" t="s">
        <v>2433</v>
      </c>
      <c r="L287" s="174" t="s">
        <v>2434</v>
      </c>
      <c r="M287" s="174" t="s">
        <v>2434</v>
      </c>
      <c r="N287" s="174" t="s">
        <v>2435</v>
      </c>
      <c r="O287" s="174" t="s">
        <v>2436</v>
      </c>
      <c r="Y287" s="174" t="s">
        <v>2437</v>
      </c>
      <c r="Z287" s="174" t="s">
        <v>2047</v>
      </c>
      <c r="AA287" s="174" t="s">
        <v>2438</v>
      </c>
      <c r="AB287" s="174" t="s">
        <v>2049</v>
      </c>
      <c r="AC287" s="174" t="s">
        <v>2439</v>
      </c>
      <c r="AD287" s="174" t="s">
        <v>2139</v>
      </c>
      <c r="AE287" s="174" t="s">
        <v>2356</v>
      </c>
      <c r="AF287" s="174" t="s">
        <v>2440</v>
      </c>
      <c r="AG287" s="174" t="s">
        <v>2384</v>
      </c>
      <c r="AH287" s="174" t="s">
        <v>2139</v>
      </c>
      <c r="AI287" s="174" t="s">
        <v>2441</v>
      </c>
      <c r="AJ287" s="174" t="s">
        <v>2442</v>
      </c>
      <c r="AK287" s="174" t="s">
        <v>2140</v>
      </c>
      <c r="AL287" s="174" t="s">
        <v>2139</v>
      </c>
      <c r="AM287" s="174" t="s">
        <v>2033</v>
      </c>
      <c r="AN287" s="174" t="s">
        <v>2139</v>
      </c>
      <c r="AO287" s="174" t="s">
        <v>2443</v>
      </c>
      <c r="AP287" s="174" t="s">
        <v>2444</v>
      </c>
      <c r="AQ287" s="174" t="s">
        <v>2445</v>
      </c>
      <c r="AR287" s="174" t="s">
        <v>2446</v>
      </c>
      <c r="AU287" s="174" t="s">
        <v>248</v>
      </c>
      <c r="AV287" s="174" t="s">
        <v>248</v>
      </c>
      <c r="AW287" s="174" t="s">
        <v>217</v>
      </c>
    </row>
    <row r="288" spans="1:49" ht="13.35" customHeight="1" x14ac:dyDescent="0.2">
      <c r="A288" s="278" t="s">
        <v>4190</v>
      </c>
      <c r="B288" s="279" t="s">
        <v>4366</v>
      </c>
      <c r="E288" s="221" t="s">
        <v>2447</v>
      </c>
      <c r="F288" s="174">
        <v>23</v>
      </c>
      <c r="G288" s="174" t="s">
        <v>2261</v>
      </c>
      <c r="H288" s="174" t="s">
        <v>2448</v>
      </c>
      <c r="I288" s="174" t="s">
        <v>2448</v>
      </c>
      <c r="J288" s="174" t="s">
        <v>2448</v>
      </c>
      <c r="K288" s="174" t="s">
        <v>2449</v>
      </c>
      <c r="L288" s="174" t="s">
        <v>2450</v>
      </c>
      <c r="M288" s="174" t="s">
        <v>2450</v>
      </c>
      <c r="N288" s="174" t="s">
        <v>2451</v>
      </c>
      <c r="Y288" s="174" t="s">
        <v>2452</v>
      </c>
      <c r="Z288" s="174" t="s">
        <v>2453</v>
      </c>
      <c r="AA288" s="174" t="s">
        <v>2454</v>
      </c>
      <c r="AB288" s="174" t="s">
        <v>2455</v>
      </c>
      <c r="AC288" s="174" t="s">
        <v>2287</v>
      </c>
      <c r="AD288" s="174" t="s">
        <v>2456</v>
      </c>
      <c r="AE288" s="174" t="s">
        <v>2292</v>
      </c>
      <c r="AF288" s="174" t="s">
        <v>2457</v>
      </c>
      <c r="AU288" s="174" t="s">
        <v>248</v>
      </c>
      <c r="AV288" s="174" t="s">
        <v>248</v>
      </c>
      <c r="AW288" s="174" t="s">
        <v>248</v>
      </c>
    </row>
    <row r="289" spans="1:49" ht="13.35" customHeight="1" x14ac:dyDescent="0.2">
      <c r="A289" s="278" t="s">
        <v>4201</v>
      </c>
      <c r="B289" s="279" t="s">
        <v>4367</v>
      </c>
      <c r="E289" s="221" t="s">
        <v>2458</v>
      </c>
      <c r="F289" s="174">
        <v>106</v>
      </c>
      <c r="G289" s="174" t="s">
        <v>206</v>
      </c>
      <c r="H289" s="174" t="s">
        <v>2459</v>
      </c>
      <c r="I289" s="174" t="s">
        <v>2460</v>
      </c>
      <c r="J289" s="174" t="s">
        <v>2461</v>
      </c>
      <c r="K289" s="174" t="s">
        <v>2462</v>
      </c>
      <c r="L289" s="174" t="s">
        <v>2463</v>
      </c>
      <c r="M289" s="174" t="s">
        <v>2464</v>
      </c>
      <c r="N289" s="174" t="s">
        <v>2465</v>
      </c>
      <c r="Y289" s="174" t="s">
        <v>2287</v>
      </c>
      <c r="Z289" s="174" t="s">
        <v>2289</v>
      </c>
      <c r="AA289" s="174" t="s">
        <v>2466</v>
      </c>
      <c r="AB289" s="174" t="s">
        <v>2467</v>
      </c>
      <c r="AC289" s="174" t="s">
        <v>2468</v>
      </c>
      <c r="AD289" s="174" t="s">
        <v>2212</v>
      </c>
      <c r="AE289" s="174" t="s">
        <v>2047</v>
      </c>
      <c r="AF289" s="174" t="s">
        <v>2469</v>
      </c>
      <c r="AG289" s="174" t="s">
        <v>2470</v>
      </c>
      <c r="AH289" s="174" t="s">
        <v>2162</v>
      </c>
      <c r="AI289" s="174" t="s">
        <v>2471</v>
      </c>
      <c r="AJ289" s="174" t="s">
        <v>2415</v>
      </c>
      <c r="AK289" s="174" t="s">
        <v>2472</v>
      </c>
      <c r="AU289" s="174" t="s">
        <v>248</v>
      </c>
      <c r="AV289" s="174" t="s">
        <v>248</v>
      </c>
      <c r="AW289" s="174" t="s">
        <v>235</v>
      </c>
    </row>
    <row r="290" spans="1:49" ht="13.35" customHeight="1" x14ac:dyDescent="0.2">
      <c r="A290" s="278" t="s">
        <v>4191</v>
      </c>
      <c r="B290" s="279" t="s">
        <v>4368</v>
      </c>
      <c r="E290" s="221" t="s">
        <v>2473</v>
      </c>
      <c r="F290" s="174">
        <v>40</v>
      </c>
      <c r="G290" s="174" t="s">
        <v>2261</v>
      </c>
      <c r="H290" s="174" t="s">
        <v>2474</v>
      </c>
      <c r="I290" s="174" t="s">
        <v>2475</v>
      </c>
      <c r="J290" s="174" t="s">
        <v>2476</v>
      </c>
      <c r="K290" s="174" t="s">
        <v>2476</v>
      </c>
      <c r="L290" s="174" t="s">
        <v>2477</v>
      </c>
      <c r="M290" s="174" t="s">
        <v>2478</v>
      </c>
      <c r="Y290" s="174" t="s">
        <v>2479</v>
      </c>
      <c r="Z290" s="174" t="s">
        <v>2480</v>
      </c>
      <c r="AA290" s="174" t="s">
        <v>2248</v>
      </c>
      <c r="AB290" s="174" t="s">
        <v>2049</v>
      </c>
      <c r="AC290" s="174" t="s">
        <v>2233</v>
      </c>
      <c r="AD290" s="174" t="s">
        <v>2481</v>
      </c>
      <c r="AE290" s="174" t="s">
        <v>2231</v>
      </c>
      <c r="AF290" s="174" t="s">
        <v>2160</v>
      </c>
      <c r="AU290" s="174" t="s">
        <v>248</v>
      </c>
      <c r="AV290" s="174" t="s">
        <v>248</v>
      </c>
      <c r="AW290" s="174" t="s">
        <v>248</v>
      </c>
    </row>
    <row r="291" spans="1:49" ht="13.35" customHeight="1" x14ac:dyDescent="0.2">
      <c r="A291" s="278" t="s">
        <v>4185</v>
      </c>
      <c r="B291" s="279" t="s">
        <v>4369</v>
      </c>
      <c r="E291" s="221" t="s">
        <v>2482</v>
      </c>
      <c r="F291" s="174">
        <v>130</v>
      </c>
      <c r="G291" s="174" t="s">
        <v>206</v>
      </c>
      <c r="H291" s="174" t="s">
        <v>2483</v>
      </c>
      <c r="I291" s="174" t="s">
        <v>2484</v>
      </c>
      <c r="J291" s="174" t="s">
        <v>2485</v>
      </c>
      <c r="K291" s="174" t="s">
        <v>2486</v>
      </c>
      <c r="L291" s="174" t="s">
        <v>2487</v>
      </c>
      <c r="M291" s="174" t="s">
        <v>2488</v>
      </c>
      <c r="Y291" s="174" t="s">
        <v>2489</v>
      </c>
      <c r="Z291" s="174" t="s">
        <v>2490</v>
      </c>
      <c r="AA291" s="174" t="s">
        <v>2491</v>
      </c>
      <c r="AB291" s="174" t="s">
        <v>2160</v>
      </c>
      <c r="AD291" s="174" t="s">
        <v>2492</v>
      </c>
      <c r="AE291" s="174" t="s">
        <v>2139</v>
      </c>
      <c r="AF291" s="174" t="s">
        <v>2233</v>
      </c>
      <c r="AG291" s="174" t="s">
        <v>2493</v>
      </c>
      <c r="AH291" s="174" t="s">
        <v>2113</v>
      </c>
      <c r="AI291" s="174" t="s">
        <v>2355</v>
      </c>
      <c r="AU291" s="174" t="s">
        <v>248</v>
      </c>
      <c r="AV291" s="174" t="s">
        <v>248</v>
      </c>
      <c r="AW291" s="174" t="s">
        <v>225</v>
      </c>
    </row>
    <row r="292" spans="1:49" ht="13.35" customHeight="1" x14ac:dyDescent="0.2">
      <c r="A292" s="278" t="s">
        <v>4202</v>
      </c>
      <c r="B292" s="279" t="s">
        <v>4370</v>
      </c>
      <c r="E292" s="221" t="s">
        <v>2494</v>
      </c>
      <c r="F292" s="174">
        <v>120</v>
      </c>
      <c r="G292" s="174" t="s">
        <v>206</v>
      </c>
      <c r="H292" s="174" t="s">
        <v>2303</v>
      </c>
      <c r="I292" s="174" t="s">
        <v>2495</v>
      </c>
      <c r="J292" s="174" t="s">
        <v>2204</v>
      </c>
      <c r="K292" s="174" t="s">
        <v>2496</v>
      </c>
      <c r="L292" s="174" t="s">
        <v>2497</v>
      </c>
      <c r="M292" s="174" t="s">
        <v>2498</v>
      </c>
      <c r="Y292" s="174" t="s">
        <v>2499</v>
      </c>
      <c r="Z292" s="174" t="s">
        <v>2500</v>
      </c>
      <c r="AA292" s="174" t="s">
        <v>2501</v>
      </c>
      <c r="AB292" s="174" t="s">
        <v>2502</v>
      </c>
      <c r="AC292" s="174" t="s">
        <v>2160</v>
      </c>
      <c r="AD292" s="174" t="s">
        <v>2115</v>
      </c>
      <c r="AE292" s="174" t="s">
        <v>2503</v>
      </c>
      <c r="AF292" s="174" t="s">
        <v>2213</v>
      </c>
      <c r="AG292" s="174" t="s">
        <v>2504</v>
      </c>
      <c r="AU292" s="174" t="s">
        <v>248</v>
      </c>
      <c r="AV292" s="174" t="s">
        <v>248</v>
      </c>
      <c r="AW292" s="174" t="s">
        <v>2505</v>
      </c>
    </row>
    <row r="293" spans="1:49" ht="13.35" customHeight="1" x14ac:dyDescent="0.2">
      <c r="A293" s="278" t="s">
        <v>4371</v>
      </c>
      <c r="B293" s="279" t="s">
        <v>4372</v>
      </c>
      <c r="E293" s="221" t="s">
        <v>2506</v>
      </c>
      <c r="F293" s="174">
        <v>28</v>
      </c>
      <c r="G293" s="174" t="s">
        <v>206</v>
      </c>
      <c r="H293" s="174" t="s">
        <v>2507</v>
      </c>
      <c r="I293" s="174" t="s">
        <v>2508</v>
      </c>
      <c r="J293" s="174" t="s">
        <v>2507</v>
      </c>
      <c r="K293" s="174" t="s">
        <v>2507</v>
      </c>
      <c r="L293" s="174" t="s">
        <v>2509</v>
      </c>
      <c r="M293" s="174" t="s">
        <v>2510</v>
      </c>
      <c r="N293" s="174" t="s">
        <v>2511</v>
      </c>
      <c r="Y293" s="174" t="s">
        <v>2025</v>
      </c>
      <c r="Z293" s="174" t="s">
        <v>2512</v>
      </c>
      <c r="AA293" s="174" t="s">
        <v>2248</v>
      </c>
      <c r="AB293" s="174" t="s">
        <v>2024</v>
      </c>
      <c r="AC293" s="174" t="s">
        <v>2226</v>
      </c>
      <c r="AD293" s="174" t="s">
        <v>2513</v>
      </c>
      <c r="AE293" s="174" t="s">
        <v>2162</v>
      </c>
      <c r="AF293" s="174" t="s">
        <v>2360</v>
      </c>
      <c r="AG293" s="174" t="s">
        <v>2238</v>
      </c>
      <c r="AH293" s="174" t="s">
        <v>2514</v>
      </c>
      <c r="AI293" s="174" t="s">
        <v>2179</v>
      </c>
      <c r="AJ293" s="174" t="s">
        <v>2515</v>
      </c>
      <c r="AU293" s="174" t="s">
        <v>248</v>
      </c>
      <c r="AV293" s="174" t="s">
        <v>248</v>
      </c>
      <c r="AW293" s="174" t="s">
        <v>248</v>
      </c>
    </row>
    <row r="294" spans="1:49" ht="13.35" customHeight="1" x14ac:dyDescent="0.2">
      <c r="A294" s="278" t="s">
        <v>4171</v>
      </c>
      <c r="B294" s="279" t="s">
        <v>4373</v>
      </c>
      <c r="E294" s="221" t="s">
        <v>2516</v>
      </c>
      <c r="F294" s="174">
        <v>33</v>
      </c>
      <c r="G294" s="174" t="s">
        <v>2261</v>
      </c>
      <c r="H294" s="174" t="s">
        <v>2517</v>
      </c>
      <c r="I294" s="174" t="s">
        <v>2518</v>
      </c>
      <c r="J294" s="174" t="s">
        <v>2519</v>
      </c>
      <c r="K294" s="174" t="s">
        <v>2520</v>
      </c>
      <c r="L294" s="174" t="s">
        <v>2353</v>
      </c>
      <c r="Y294" s="174" t="s">
        <v>2521</v>
      </c>
      <c r="Z294" s="174" t="s">
        <v>2211</v>
      </c>
      <c r="AA294" s="174" t="s">
        <v>2522</v>
      </c>
      <c r="AB294" s="174" t="s">
        <v>2160</v>
      </c>
      <c r="AC294" s="174" t="s">
        <v>2256</v>
      </c>
      <c r="AD294" s="174" t="s">
        <v>2523</v>
      </c>
      <c r="AE294" s="174" t="s">
        <v>2524</v>
      </c>
      <c r="AF294" s="174" t="s">
        <v>2076</v>
      </c>
      <c r="AG294" s="174" t="s">
        <v>2354</v>
      </c>
      <c r="AH294" s="174" t="s">
        <v>2139</v>
      </c>
      <c r="AU294" s="174" t="s">
        <v>248</v>
      </c>
      <c r="AV294" s="174" t="s">
        <v>248</v>
      </c>
      <c r="AW294" s="174" t="s">
        <v>248</v>
      </c>
    </row>
    <row r="295" spans="1:49" ht="13.35" customHeight="1" x14ac:dyDescent="0.2">
      <c r="A295" s="278" t="s">
        <v>4192</v>
      </c>
      <c r="B295" s="279" t="s">
        <v>4374</v>
      </c>
      <c r="E295" s="221" t="s">
        <v>2525</v>
      </c>
      <c r="F295" s="174">
        <v>69</v>
      </c>
      <c r="G295" s="174" t="s">
        <v>206</v>
      </c>
      <c r="H295" s="174" t="s">
        <v>2526</v>
      </c>
      <c r="I295" s="174" t="s">
        <v>2527</v>
      </c>
      <c r="J295" s="174" t="s">
        <v>2528</v>
      </c>
      <c r="K295" s="174" t="s">
        <v>2295</v>
      </c>
      <c r="L295" s="174" t="s">
        <v>2376</v>
      </c>
      <c r="M295" s="174" t="s">
        <v>2529</v>
      </c>
      <c r="Y295" s="174" t="s">
        <v>2097</v>
      </c>
      <c r="Z295" s="174" t="s">
        <v>2211</v>
      </c>
      <c r="AA295" s="174" t="s">
        <v>2530</v>
      </c>
      <c r="AB295" s="174" t="s">
        <v>2531</v>
      </c>
      <c r="AC295" s="174" t="s">
        <v>2532</v>
      </c>
      <c r="AD295" s="174" t="s">
        <v>2533</v>
      </c>
      <c r="AE295" s="174" t="s">
        <v>2259</v>
      </c>
      <c r="AF295" s="174" t="s">
        <v>2139</v>
      </c>
      <c r="AG295" s="174" t="s">
        <v>2162</v>
      </c>
      <c r="AH295" s="174" t="s">
        <v>2160</v>
      </c>
      <c r="AU295" s="174" t="s">
        <v>248</v>
      </c>
      <c r="AV295" s="174" t="s">
        <v>248</v>
      </c>
      <c r="AW295" s="174" t="s">
        <v>2534</v>
      </c>
    </row>
    <row r="296" spans="1:49" ht="13.35" customHeight="1" x14ac:dyDescent="0.2">
      <c r="A296" s="278" t="s">
        <v>4203</v>
      </c>
      <c r="B296" s="279" t="s">
        <v>4375</v>
      </c>
      <c r="E296" s="221" t="s">
        <v>2535</v>
      </c>
      <c r="F296" s="174">
        <v>26</v>
      </c>
      <c r="G296" s="174" t="s">
        <v>2261</v>
      </c>
      <c r="H296" s="174" t="s">
        <v>2536</v>
      </c>
      <c r="I296" s="174" t="s">
        <v>2537</v>
      </c>
      <c r="J296" s="174" t="s">
        <v>2538</v>
      </c>
      <c r="K296" s="174" t="s">
        <v>2539</v>
      </c>
      <c r="L296" s="174" t="s">
        <v>2376</v>
      </c>
      <c r="M296" s="174" t="s">
        <v>2540</v>
      </c>
      <c r="N296" s="174" t="s">
        <v>2541</v>
      </c>
      <c r="O296" s="174" t="s">
        <v>2541</v>
      </c>
      <c r="P296" s="174" t="s">
        <v>2541</v>
      </c>
      <c r="Q296" s="174" t="s">
        <v>2541</v>
      </c>
      <c r="R296" s="174" t="s">
        <v>2541</v>
      </c>
      <c r="S296" s="174" t="s">
        <v>2542</v>
      </c>
      <c r="Y296" s="174" t="s">
        <v>2437</v>
      </c>
      <c r="Z296" s="174" t="s">
        <v>2047</v>
      </c>
      <c r="AA296" s="174" t="s">
        <v>2324</v>
      </c>
      <c r="AB296" s="174" t="s">
        <v>2047</v>
      </c>
      <c r="AC296" s="174" t="s">
        <v>2117</v>
      </c>
      <c r="AD296" s="174" t="s">
        <v>2164</v>
      </c>
      <c r="AE296" s="174" t="s">
        <v>2356</v>
      </c>
      <c r="AF296" s="174" t="s">
        <v>2440</v>
      </c>
      <c r="AG296" s="174" t="s">
        <v>2287</v>
      </c>
      <c r="AH296" s="174" t="s">
        <v>2543</v>
      </c>
      <c r="AU296" s="174" t="s">
        <v>248</v>
      </c>
      <c r="AV296" s="174" t="s">
        <v>248</v>
      </c>
      <c r="AW296" s="174" t="s">
        <v>248</v>
      </c>
    </row>
    <row r="297" spans="1:49" ht="13.35" customHeight="1" x14ac:dyDescent="0.2">
      <c r="A297" s="278" t="s">
        <v>4377</v>
      </c>
      <c r="B297" s="279" t="s">
        <v>4376</v>
      </c>
      <c r="E297" s="221" t="s">
        <v>2544</v>
      </c>
      <c r="F297" s="174">
        <v>44</v>
      </c>
      <c r="G297" s="174" t="s">
        <v>2261</v>
      </c>
      <c r="H297" s="174" t="s">
        <v>2545</v>
      </c>
      <c r="I297" s="174" t="s">
        <v>2546</v>
      </c>
      <c r="J297" s="174" t="s">
        <v>2547</v>
      </c>
      <c r="K297" s="174" t="s">
        <v>2548</v>
      </c>
      <c r="L297" s="174" t="s">
        <v>2549</v>
      </c>
      <c r="M297" s="174" t="s">
        <v>2174</v>
      </c>
      <c r="Y297" s="174" t="s">
        <v>2244</v>
      </c>
      <c r="Z297" s="174" t="s">
        <v>2257</v>
      </c>
      <c r="AA297" s="174" t="s">
        <v>2135</v>
      </c>
      <c r="AB297" s="174" t="s">
        <v>2049</v>
      </c>
      <c r="AC297" s="174" t="s">
        <v>2029</v>
      </c>
      <c r="AD297" s="174" t="s">
        <v>2160</v>
      </c>
      <c r="AE297" s="174" t="s">
        <v>2113</v>
      </c>
      <c r="AF297" s="174" t="s">
        <v>2355</v>
      </c>
      <c r="AG297" s="174" t="s">
        <v>2532</v>
      </c>
      <c r="AH297" s="174" t="s">
        <v>2160</v>
      </c>
      <c r="AI297" s="174" t="s">
        <v>2231</v>
      </c>
      <c r="AJ297" s="174" t="s">
        <v>2160</v>
      </c>
      <c r="AU297" s="174" t="s">
        <v>248</v>
      </c>
      <c r="AV297" s="174" t="s">
        <v>248</v>
      </c>
      <c r="AW297" s="174" t="s">
        <v>248</v>
      </c>
    </row>
    <row r="298" spans="1:49" ht="13.35" customHeight="1" x14ac:dyDescent="0.2">
      <c r="A298" s="278" t="s">
        <v>4204</v>
      </c>
      <c r="B298" s="265"/>
      <c r="E298" s="221" t="s">
        <v>2550</v>
      </c>
      <c r="F298" s="174">
        <v>18</v>
      </c>
      <c r="G298" s="174" t="s">
        <v>206</v>
      </c>
      <c r="H298" s="174" t="s">
        <v>2551</v>
      </c>
      <c r="I298" s="174" t="s">
        <v>2552</v>
      </c>
      <c r="J298" s="174" t="s">
        <v>2553</v>
      </c>
      <c r="Y298" s="174" t="s">
        <v>2248</v>
      </c>
      <c r="Z298" s="174" t="s">
        <v>2024</v>
      </c>
      <c r="AA298" s="174" t="s">
        <v>2300</v>
      </c>
      <c r="AB298" s="174" t="s">
        <v>2026</v>
      </c>
      <c r="AC298" s="174" t="s">
        <v>2178</v>
      </c>
      <c r="AD298" s="174" t="s">
        <v>2030</v>
      </c>
      <c r="AE298" s="174" t="s">
        <v>2238</v>
      </c>
      <c r="AF298" s="174" t="s">
        <v>2139</v>
      </c>
      <c r="AG298" s="174" t="s">
        <v>2387</v>
      </c>
      <c r="AH298" s="174" t="s">
        <v>2388</v>
      </c>
      <c r="AU298" s="174" t="s">
        <v>248</v>
      </c>
      <c r="AV298" s="174" t="s">
        <v>248</v>
      </c>
      <c r="AW298" s="174" t="s">
        <v>248</v>
      </c>
    </row>
    <row r="299" spans="1:49" ht="13.35" customHeight="1" x14ac:dyDescent="0.2">
      <c r="A299" s="278" t="s">
        <v>4180</v>
      </c>
      <c r="B299" s="279" t="s">
        <v>4378</v>
      </c>
      <c r="E299" s="221" t="s">
        <v>2554</v>
      </c>
      <c r="F299" s="174">
        <v>95</v>
      </c>
      <c r="G299" s="174" t="s">
        <v>206</v>
      </c>
      <c r="H299" s="174" t="s">
        <v>2551</v>
      </c>
      <c r="I299" s="174" t="s">
        <v>2555</v>
      </c>
      <c r="J299" s="174" t="s">
        <v>2556</v>
      </c>
      <c r="K299" s="174" t="s">
        <v>2557</v>
      </c>
      <c r="L299" s="174" t="s">
        <v>2558</v>
      </c>
      <c r="Y299" s="174" t="s">
        <v>2559</v>
      </c>
      <c r="Z299" s="174" t="s">
        <v>2211</v>
      </c>
      <c r="AA299" s="174" t="s">
        <v>2248</v>
      </c>
      <c r="AB299" s="174" t="s">
        <v>2024</v>
      </c>
      <c r="AC299" s="174" t="s">
        <v>2300</v>
      </c>
      <c r="AD299" s="174" t="s">
        <v>2026</v>
      </c>
      <c r="AE299" s="174" t="s">
        <v>2178</v>
      </c>
      <c r="AF299" s="174" t="s">
        <v>2030</v>
      </c>
      <c r="AG299" s="174" t="s">
        <v>2521</v>
      </c>
      <c r="AH299" s="174" t="s">
        <v>2211</v>
      </c>
      <c r="AI299" s="174" t="s">
        <v>2387</v>
      </c>
      <c r="AJ299" s="174" t="s">
        <v>2388</v>
      </c>
      <c r="AK299" s="174" t="s">
        <v>2452</v>
      </c>
      <c r="AL299" s="174" t="s">
        <v>2211</v>
      </c>
      <c r="AU299" s="174" t="s">
        <v>248</v>
      </c>
      <c r="AV299" s="174" t="s">
        <v>248</v>
      </c>
      <c r="AW299" s="174" t="s">
        <v>217</v>
      </c>
    </row>
    <row r="300" spans="1:49" ht="13.35" customHeight="1" x14ac:dyDescent="0.2">
      <c r="A300" s="278" t="s">
        <v>4173</v>
      </c>
      <c r="B300" s="265" t="s">
        <v>4379</v>
      </c>
      <c r="E300" s="221" t="s">
        <v>2560</v>
      </c>
      <c r="F300" s="174">
        <v>76</v>
      </c>
      <c r="G300" s="174" t="s">
        <v>206</v>
      </c>
      <c r="H300" s="174" t="s">
        <v>2561</v>
      </c>
      <c r="I300" s="174" t="s">
        <v>2562</v>
      </c>
      <c r="J300" s="174" t="s">
        <v>2563</v>
      </c>
      <c r="K300" s="174" t="s">
        <v>2564</v>
      </c>
      <c r="L300" s="174" t="s">
        <v>2564</v>
      </c>
      <c r="M300" s="174" t="s">
        <v>2564</v>
      </c>
      <c r="N300" s="174" t="s">
        <v>2564</v>
      </c>
      <c r="O300" s="174" t="s">
        <v>2565</v>
      </c>
      <c r="Y300" s="174" t="s">
        <v>2212</v>
      </c>
      <c r="Z300" s="174" t="s">
        <v>2160</v>
      </c>
      <c r="AA300" s="174" t="s">
        <v>2566</v>
      </c>
      <c r="AB300" s="174" t="s">
        <v>2567</v>
      </c>
      <c r="AC300" s="174" t="s">
        <v>2568</v>
      </c>
      <c r="AD300" s="174" t="s">
        <v>2569</v>
      </c>
      <c r="AE300" s="174" t="s">
        <v>2213</v>
      </c>
      <c r="AF300" s="174" t="s">
        <v>2570</v>
      </c>
      <c r="AU300" s="174" t="s">
        <v>248</v>
      </c>
      <c r="AV300" s="174" t="s">
        <v>248</v>
      </c>
      <c r="AW300" s="174" t="s">
        <v>233</v>
      </c>
    </row>
    <row r="301" spans="1:49" ht="13.35" customHeight="1" x14ac:dyDescent="0.2">
      <c r="E301" s="221" t="s">
        <v>2571</v>
      </c>
      <c r="F301" s="174">
        <v>86</v>
      </c>
      <c r="G301" s="174" t="s">
        <v>206</v>
      </c>
      <c r="H301" s="174" t="s">
        <v>2572</v>
      </c>
      <c r="I301" s="174" t="s">
        <v>2573</v>
      </c>
      <c r="J301" s="174" t="s">
        <v>2574</v>
      </c>
      <c r="K301" s="174" t="s">
        <v>2575</v>
      </c>
      <c r="L301" s="174" t="s">
        <v>2576</v>
      </c>
      <c r="M301" s="174" t="s">
        <v>2577</v>
      </c>
      <c r="N301" s="174" t="s">
        <v>2578</v>
      </c>
      <c r="O301" s="174" t="s">
        <v>2579</v>
      </c>
      <c r="Y301" s="174" t="s">
        <v>2046</v>
      </c>
      <c r="Z301" s="174" t="s">
        <v>2160</v>
      </c>
      <c r="AA301" s="174" t="s">
        <v>2566</v>
      </c>
      <c r="AB301" s="174" t="s">
        <v>2580</v>
      </c>
      <c r="AC301" s="174" t="s">
        <v>2454</v>
      </c>
      <c r="AD301" s="174" t="s">
        <v>2189</v>
      </c>
      <c r="AE301" s="174" t="s">
        <v>2581</v>
      </c>
      <c r="AF301" s="174" t="s">
        <v>2582</v>
      </c>
      <c r="AG301" s="174" t="s">
        <v>2583</v>
      </c>
      <c r="AH301" s="174" t="s">
        <v>2160</v>
      </c>
      <c r="AI301" s="174" t="s">
        <v>2202</v>
      </c>
      <c r="AJ301" s="174" t="s">
        <v>2139</v>
      </c>
      <c r="AU301" s="174" t="s">
        <v>2584</v>
      </c>
      <c r="AV301" s="174" t="s">
        <v>248</v>
      </c>
      <c r="AW301" s="174" t="s">
        <v>2585</v>
      </c>
    </row>
    <row r="302" spans="1:49" ht="13.35" customHeight="1" x14ac:dyDescent="0.2">
      <c r="E302" s="221" t="s">
        <v>2586</v>
      </c>
      <c r="F302" s="174">
        <v>46</v>
      </c>
      <c r="G302" s="174" t="s">
        <v>206</v>
      </c>
      <c r="H302" s="174" t="s">
        <v>2587</v>
      </c>
      <c r="I302" s="174" t="s">
        <v>2588</v>
      </c>
      <c r="J302" s="174" t="s">
        <v>2589</v>
      </c>
      <c r="K302" s="174" t="s">
        <v>2590</v>
      </c>
      <c r="L302" s="174" t="s">
        <v>2591</v>
      </c>
      <c r="M302" s="174" t="s">
        <v>2592</v>
      </c>
      <c r="N302" s="174" t="s">
        <v>2593</v>
      </c>
      <c r="O302" s="174" t="s">
        <v>2594</v>
      </c>
      <c r="Y302" s="174" t="s">
        <v>2226</v>
      </c>
      <c r="Z302" s="174" t="s">
        <v>2595</v>
      </c>
      <c r="AA302" s="174" t="s">
        <v>2048</v>
      </c>
      <c r="AB302" s="174" t="s">
        <v>2596</v>
      </c>
      <c r="AC302" s="174" t="s">
        <v>2292</v>
      </c>
      <c r="AD302" s="174" t="s">
        <v>2597</v>
      </c>
      <c r="AE302" s="174" t="s">
        <v>2598</v>
      </c>
      <c r="AF302" s="174" t="s">
        <v>2599</v>
      </c>
      <c r="AU302" s="174" t="s">
        <v>248</v>
      </c>
      <c r="AV302" s="174" t="s">
        <v>584</v>
      </c>
      <c r="AW302" s="174" t="s">
        <v>248</v>
      </c>
    </row>
    <row r="303" spans="1:49" ht="13.35" customHeight="1" x14ac:dyDescent="0.2">
      <c r="E303" s="221" t="s">
        <v>2600</v>
      </c>
      <c r="F303" s="174">
        <v>40</v>
      </c>
      <c r="G303" s="174" t="s">
        <v>206</v>
      </c>
      <c r="H303" s="174" t="s">
        <v>2601</v>
      </c>
      <c r="I303" s="174" t="s">
        <v>2602</v>
      </c>
      <c r="J303" s="174" t="s">
        <v>2603</v>
      </c>
      <c r="K303" s="174" t="s">
        <v>2604</v>
      </c>
      <c r="L303" s="174" t="s">
        <v>2605</v>
      </c>
      <c r="M303" s="174" t="s">
        <v>2606</v>
      </c>
      <c r="N303" s="174" t="s">
        <v>2607</v>
      </c>
      <c r="O303" s="174" t="s">
        <v>2608</v>
      </c>
      <c r="P303" s="174" t="s">
        <v>2609</v>
      </c>
      <c r="Q303" s="174" t="s">
        <v>2610</v>
      </c>
      <c r="Y303" s="174" t="s">
        <v>2226</v>
      </c>
      <c r="Z303" s="174" t="s">
        <v>2369</v>
      </c>
      <c r="AA303" s="174" t="s">
        <v>2117</v>
      </c>
      <c r="AC303" s="174" t="s">
        <v>2072</v>
      </c>
      <c r="AD303" s="174" t="s">
        <v>2611</v>
      </c>
      <c r="AE303" s="174" t="s">
        <v>2367</v>
      </c>
      <c r="AF303" s="174" t="s">
        <v>2123</v>
      </c>
      <c r="AG303" s="174" t="s">
        <v>2612</v>
      </c>
      <c r="AU303" s="174" t="s">
        <v>248</v>
      </c>
      <c r="AV303" s="174" t="s">
        <v>560</v>
      </c>
      <c r="AW303" s="174" t="s">
        <v>248</v>
      </c>
    </row>
    <row r="304" spans="1:49" ht="13.35" customHeight="1" x14ac:dyDescent="0.2">
      <c r="E304" s="221" t="s">
        <v>2613</v>
      </c>
      <c r="F304" s="174">
        <v>95</v>
      </c>
      <c r="G304" s="174" t="s">
        <v>206</v>
      </c>
      <c r="H304" s="174" t="s">
        <v>2614</v>
      </c>
      <c r="I304" s="174" t="s">
        <v>2614</v>
      </c>
      <c r="J304" s="174" t="s">
        <v>2014</v>
      </c>
      <c r="K304" s="174" t="s">
        <v>2014</v>
      </c>
      <c r="L304" s="174" t="s">
        <v>2174</v>
      </c>
      <c r="Y304" s="174" t="s">
        <v>2615</v>
      </c>
      <c r="Z304" s="174" t="s">
        <v>2616</v>
      </c>
      <c r="AA304" s="174" t="s">
        <v>2617</v>
      </c>
      <c r="AB304" s="174" t="s">
        <v>2257</v>
      </c>
      <c r="AC304" s="174" t="s">
        <v>2618</v>
      </c>
      <c r="AD304" s="174" t="s">
        <v>2211</v>
      </c>
      <c r="AE304" s="174" t="s">
        <v>2619</v>
      </c>
      <c r="AF304" s="174" t="s">
        <v>2620</v>
      </c>
      <c r="AG304" s="174" t="s">
        <v>2139</v>
      </c>
      <c r="AU304" s="174" t="s">
        <v>248</v>
      </c>
      <c r="AV304" s="174" t="s">
        <v>248</v>
      </c>
      <c r="AW304" s="174" t="s">
        <v>2429</v>
      </c>
    </row>
    <row r="305" spans="5:49" ht="13.35" customHeight="1" x14ac:dyDescent="0.2">
      <c r="E305" s="221" t="s">
        <v>2621</v>
      </c>
      <c r="F305" s="174">
        <v>37</v>
      </c>
      <c r="G305" s="174" t="s">
        <v>206</v>
      </c>
      <c r="H305" s="174" t="s">
        <v>2622</v>
      </c>
      <c r="I305" s="174" t="s">
        <v>2623</v>
      </c>
      <c r="J305" s="174" t="s">
        <v>2624</v>
      </c>
      <c r="K305" s="174" t="s">
        <v>2625</v>
      </c>
      <c r="L305" s="174" t="s">
        <v>2626</v>
      </c>
      <c r="M305" s="174" t="s">
        <v>2627</v>
      </c>
      <c r="N305" s="174" t="s">
        <v>2628</v>
      </c>
      <c r="Y305" s="174" t="s">
        <v>2178</v>
      </c>
      <c r="Z305" s="174" t="s">
        <v>2030</v>
      </c>
      <c r="AA305" s="174" t="s">
        <v>2358</v>
      </c>
      <c r="AB305" s="174" t="s">
        <v>2211</v>
      </c>
      <c r="AC305" s="174" t="s">
        <v>2238</v>
      </c>
      <c r="AD305" s="174" t="s">
        <v>2160</v>
      </c>
      <c r="AE305" s="174" t="s">
        <v>2179</v>
      </c>
      <c r="AF305" s="174" t="s">
        <v>2515</v>
      </c>
      <c r="AG305" s="174" t="s">
        <v>2629</v>
      </c>
      <c r="AH305" s="174" t="s">
        <v>2354</v>
      </c>
      <c r="AI305" s="174" t="s">
        <v>2149</v>
      </c>
      <c r="AU305" s="174" t="s">
        <v>248</v>
      </c>
      <c r="AV305" s="174" t="s">
        <v>248</v>
      </c>
      <c r="AW305" s="174" t="s">
        <v>248</v>
      </c>
    </row>
    <row r="306" spans="5:49" ht="13.35" customHeight="1" x14ac:dyDescent="0.2">
      <c r="E306" s="221" t="s">
        <v>2630</v>
      </c>
      <c r="F306" s="174">
        <v>30</v>
      </c>
      <c r="G306" s="174" t="s">
        <v>206</v>
      </c>
      <c r="H306" s="174" t="s">
        <v>2631</v>
      </c>
      <c r="I306" s="174" t="s">
        <v>2632</v>
      </c>
      <c r="J306" s="174" t="s">
        <v>2633</v>
      </c>
      <c r="K306" s="174" t="s">
        <v>2634</v>
      </c>
      <c r="L306" s="174" t="s">
        <v>2635</v>
      </c>
      <c r="M306" s="174" t="s">
        <v>2636</v>
      </c>
      <c r="N306" s="174" t="s">
        <v>2637</v>
      </c>
      <c r="O306" s="174" t="s">
        <v>2638</v>
      </c>
      <c r="P306" s="174" t="s">
        <v>2639</v>
      </c>
      <c r="Q306" s="174" t="s">
        <v>2640</v>
      </c>
      <c r="R306" s="174" t="s">
        <v>2641</v>
      </c>
      <c r="Y306" s="174" t="s">
        <v>2411</v>
      </c>
      <c r="Z306" s="174" t="s">
        <v>2160</v>
      </c>
      <c r="AA306" s="174" t="s">
        <v>2258</v>
      </c>
      <c r="AB306" s="174" t="s">
        <v>2642</v>
      </c>
      <c r="AC306" s="174" t="s">
        <v>2643</v>
      </c>
      <c r="AD306" s="174" t="s">
        <v>2115</v>
      </c>
      <c r="AE306" s="174" t="s">
        <v>2400</v>
      </c>
      <c r="AF306" s="174" t="s">
        <v>2231</v>
      </c>
      <c r="AG306" s="174" t="s">
        <v>2644</v>
      </c>
      <c r="AH306" s="174" t="s">
        <v>2645</v>
      </c>
      <c r="AI306" s="174" t="s">
        <v>2139</v>
      </c>
      <c r="AJ306" s="174" t="s">
        <v>2117</v>
      </c>
      <c r="AK306" s="174" t="s">
        <v>2160</v>
      </c>
      <c r="AL306" s="174" t="s">
        <v>2568</v>
      </c>
      <c r="AM306" s="174" t="s">
        <v>2646</v>
      </c>
      <c r="AN306" s="174" t="s">
        <v>2566</v>
      </c>
      <c r="AO306" s="174" t="s">
        <v>2647</v>
      </c>
      <c r="AP306" s="174" t="s">
        <v>2212</v>
      </c>
      <c r="AQ306" s="174" t="s">
        <v>2648</v>
      </c>
      <c r="AU306" s="174" t="s">
        <v>2649</v>
      </c>
      <c r="AV306" s="174" t="s">
        <v>2650</v>
      </c>
      <c r="AW306" s="174" t="s">
        <v>248</v>
      </c>
    </row>
    <row r="307" spans="5:49" ht="13.35" customHeight="1" x14ac:dyDescent="0.2">
      <c r="E307" s="221" t="s">
        <v>2651</v>
      </c>
      <c r="F307" s="174">
        <v>56</v>
      </c>
      <c r="G307" s="174" t="s">
        <v>206</v>
      </c>
      <c r="H307" s="174" t="s">
        <v>2652</v>
      </c>
      <c r="I307" s="174" t="s">
        <v>2653</v>
      </c>
      <c r="J307" s="174" t="s">
        <v>2654</v>
      </c>
      <c r="K307" s="174" t="s">
        <v>2655</v>
      </c>
      <c r="L307" s="174" t="s">
        <v>2656</v>
      </c>
      <c r="M307" s="174" t="s">
        <v>2657</v>
      </c>
      <c r="N307" s="174" t="s">
        <v>2658</v>
      </c>
      <c r="O307" s="174" t="s">
        <v>2659</v>
      </c>
      <c r="P307" s="174" t="s">
        <v>2660</v>
      </c>
      <c r="Y307" s="174" t="s">
        <v>2226</v>
      </c>
      <c r="Z307" s="174" t="s">
        <v>2342</v>
      </c>
      <c r="AA307" s="174" t="s">
        <v>2117</v>
      </c>
      <c r="AB307" s="174" t="s">
        <v>2661</v>
      </c>
      <c r="AC307" s="174" t="s">
        <v>2662</v>
      </c>
      <c r="AD307" s="174" t="s">
        <v>2286</v>
      </c>
      <c r="AE307" s="174" t="s">
        <v>2598</v>
      </c>
      <c r="AF307" s="174" t="s">
        <v>2663</v>
      </c>
      <c r="AU307" s="174" t="s">
        <v>248</v>
      </c>
      <c r="AV307" s="174" t="s">
        <v>2664</v>
      </c>
      <c r="AW307" s="174" t="s">
        <v>248</v>
      </c>
    </row>
    <row r="308" spans="5:49" ht="13.35" customHeight="1" x14ac:dyDescent="0.2">
      <c r="E308" s="221" t="s">
        <v>2665</v>
      </c>
      <c r="F308" s="174">
        <v>104</v>
      </c>
      <c r="G308" s="174" t="s">
        <v>2013</v>
      </c>
      <c r="H308" s="174" t="s">
        <v>2666</v>
      </c>
      <c r="I308" s="174" t="s">
        <v>2667</v>
      </c>
      <c r="J308" s="174" t="s">
        <v>2668</v>
      </c>
      <c r="K308" s="174" t="s">
        <v>2669</v>
      </c>
      <c r="L308" s="174" t="s">
        <v>2670</v>
      </c>
      <c r="M308" s="174" t="s">
        <v>2671</v>
      </c>
      <c r="N308" s="174" t="s">
        <v>2672</v>
      </c>
      <c r="O308" s="174" t="s">
        <v>2673</v>
      </c>
      <c r="P308" s="174" t="s">
        <v>2674</v>
      </c>
      <c r="Q308" s="174" t="s">
        <v>2675</v>
      </c>
      <c r="Y308" s="174" t="s">
        <v>2559</v>
      </c>
      <c r="Z308" s="174" t="s">
        <v>2676</v>
      </c>
      <c r="AA308" s="174" t="s">
        <v>2187</v>
      </c>
      <c r="AB308" s="174" t="s">
        <v>2049</v>
      </c>
      <c r="AC308" s="174" t="s">
        <v>2677</v>
      </c>
      <c r="AD308" s="174" t="s">
        <v>2139</v>
      </c>
      <c r="AE308" s="174" t="s">
        <v>2238</v>
      </c>
      <c r="AF308" s="174" t="s">
        <v>2160</v>
      </c>
      <c r="AG308" s="174" t="s">
        <v>2678</v>
      </c>
      <c r="AH308" s="174" t="s">
        <v>2679</v>
      </c>
      <c r="AI308" s="174" t="s">
        <v>2224</v>
      </c>
      <c r="AJ308" s="174" t="s">
        <v>2676</v>
      </c>
      <c r="AU308" s="174" t="s">
        <v>248</v>
      </c>
      <c r="AV308" s="174" t="s">
        <v>248</v>
      </c>
      <c r="AW308" s="174" t="s">
        <v>248</v>
      </c>
    </row>
    <row r="309" spans="5:49" ht="13.35" customHeight="1" x14ac:dyDescent="0.2">
      <c r="E309" s="221" t="s">
        <v>2680</v>
      </c>
      <c r="F309" s="174">
        <v>57</v>
      </c>
      <c r="G309" s="174" t="s">
        <v>206</v>
      </c>
      <c r="H309" s="174" t="s">
        <v>2681</v>
      </c>
      <c r="I309" s="174" t="s">
        <v>2254</v>
      </c>
      <c r="J309" s="174" t="s">
        <v>2682</v>
      </c>
      <c r="K309" s="174" t="s">
        <v>2683</v>
      </c>
      <c r="L309" s="174" t="s">
        <v>2684</v>
      </c>
      <c r="M309" s="174" t="s">
        <v>2685</v>
      </c>
      <c r="N309" s="174" t="s">
        <v>2684</v>
      </c>
      <c r="O309" s="174" t="s">
        <v>2686</v>
      </c>
      <c r="P309" s="174" t="s">
        <v>2687</v>
      </c>
      <c r="Y309" s="174" t="s">
        <v>2532</v>
      </c>
      <c r="Z309" s="174" t="s">
        <v>2688</v>
      </c>
      <c r="AA309" s="174" t="s">
        <v>2115</v>
      </c>
      <c r="AB309" s="174" t="s">
        <v>2689</v>
      </c>
      <c r="AC309" s="174" t="s">
        <v>2259</v>
      </c>
      <c r="AD309" s="174" t="s">
        <v>2690</v>
      </c>
      <c r="AE309" s="174" t="s">
        <v>2358</v>
      </c>
      <c r="AF309" s="174" t="s">
        <v>2400</v>
      </c>
      <c r="AH309" s="174" t="s">
        <v>2048</v>
      </c>
      <c r="AI309" s="174" t="s">
        <v>2139</v>
      </c>
      <c r="AJ309" s="174" t="s">
        <v>2454</v>
      </c>
      <c r="AK309" s="174" t="s">
        <v>2691</v>
      </c>
      <c r="AU309" s="174" t="s">
        <v>248</v>
      </c>
      <c r="AV309" s="174" t="s">
        <v>629</v>
      </c>
      <c r="AW309" s="174" t="s">
        <v>248</v>
      </c>
    </row>
    <row r="310" spans="5:49" ht="13.35" customHeight="1" x14ac:dyDescent="0.2">
      <c r="E310" s="221" t="s">
        <v>2692</v>
      </c>
      <c r="F310" s="174">
        <v>42</v>
      </c>
      <c r="G310" s="174" t="s">
        <v>206</v>
      </c>
      <c r="H310" s="174" t="s">
        <v>2693</v>
      </c>
      <c r="I310" s="174" t="s">
        <v>2694</v>
      </c>
      <c r="J310" s="174" t="s">
        <v>2695</v>
      </c>
      <c r="K310" s="174" t="s">
        <v>2696</v>
      </c>
      <c r="L310" s="174" t="s">
        <v>2696</v>
      </c>
      <c r="M310" s="174" t="s">
        <v>2697</v>
      </c>
      <c r="N310" s="174" t="s">
        <v>2698</v>
      </c>
      <c r="O310" s="174" t="s">
        <v>2699</v>
      </c>
      <c r="Y310" s="174" t="s">
        <v>2115</v>
      </c>
      <c r="Z310" s="174" t="s">
        <v>2314</v>
      </c>
      <c r="AA310" s="174" t="s">
        <v>2117</v>
      </c>
      <c r="AB310" s="174" t="s">
        <v>2700</v>
      </c>
      <c r="AC310" s="174" t="s">
        <v>2701</v>
      </c>
      <c r="AD310" s="174" t="s">
        <v>2702</v>
      </c>
      <c r="AE310" s="174" t="s">
        <v>2598</v>
      </c>
      <c r="AF310" s="174" t="s">
        <v>2703</v>
      </c>
      <c r="AU310" s="174" t="s">
        <v>248</v>
      </c>
      <c r="AV310" s="174" t="s">
        <v>248</v>
      </c>
      <c r="AW310" s="174" t="s">
        <v>248</v>
      </c>
    </row>
    <row r="311" spans="5:49" ht="13.35" customHeight="1" x14ac:dyDescent="0.2">
      <c r="E311" s="221" t="s">
        <v>2704</v>
      </c>
      <c r="F311" s="174">
        <v>39</v>
      </c>
      <c r="G311" s="174" t="s">
        <v>206</v>
      </c>
      <c r="H311" s="174" t="s">
        <v>2705</v>
      </c>
      <c r="I311" s="174" t="s">
        <v>2706</v>
      </c>
      <c r="J311" s="174" t="s">
        <v>2707</v>
      </c>
      <c r="K311" s="174" t="s">
        <v>2708</v>
      </c>
      <c r="L311" s="174" t="s">
        <v>2709</v>
      </c>
      <c r="M311" s="174" t="s">
        <v>2710</v>
      </c>
      <c r="N311" s="174" t="s">
        <v>2711</v>
      </c>
      <c r="O311" s="174" t="s">
        <v>2712</v>
      </c>
      <c r="P311" s="174" t="s">
        <v>2713</v>
      </c>
      <c r="Y311" s="174" t="s">
        <v>2048</v>
      </c>
      <c r="Z311" s="174" t="s">
        <v>2344</v>
      </c>
      <c r="AA311" s="174" t="s">
        <v>2119</v>
      </c>
      <c r="AB311" s="174" t="s">
        <v>2701</v>
      </c>
      <c r="AC311" s="174" t="s">
        <v>2714</v>
      </c>
      <c r="AD311" s="174" t="s">
        <v>2715</v>
      </c>
      <c r="AE311" s="174" t="s">
        <v>2716</v>
      </c>
      <c r="AU311" s="174" t="s">
        <v>2717</v>
      </c>
      <c r="AV311" s="174" t="s">
        <v>633</v>
      </c>
      <c r="AW311" s="174" t="s">
        <v>248</v>
      </c>
    </row>
    <row r="312" spans="5:49" ht="13.35" customHeight="1" x14ac:dyDescent="0.2">
      <c r="E312" s="221" t="s">
        <v>2718</v>
      </c>
      <c r="F312" s="174">
        <v>114</v>
      </c>
      <c r="G312" s="174" t="s">
        <v>206</v>
      </c>
      <c r="H312" s="174" t="s">
        <v>2719</v>
      </c>
      <c r="I312" s="174" t="s">
        <v>2720</v>
      </c>
      <c r="J312" s="174" t="s">
        <v>2721</v>
      </c>
      <c r="K312" s="174" t="s">
        <v>2722</v>
      </c>
      <c r="L312" s="174" t="s">
        <v>2723</v>
      </c>
      <c r="M312" s="174" t="s">
        <v>2724</v>
      </c>
      <c r="N312" s="174" t="s">
        <v>2725</v>
      </c>
      <c r="O312" s="174" t="s">
        <v>2045</v>
      </c>
      <c r="Y312" s="174" t="s">
        <v>2258</v>
      </c>
      <c r="Z312" s="174" t="s">
        <v>2726</v>
      </c>
      <c r="AA312" s="174" t="s">
        <v>2259</v>
      </c>
      <c r="AB312" s="174" t="s">
        <v>2727</v>
      </c>
      <c r="AC312" s="174" t="s">
        <v>2162</v>
      </c>
      <c r="AD312" s="174" t="s">
        <v>2160</v>
      </c>
      <c r="AE312" s="174" t="s">
        <v>2399</v>
      </c>
      <c r="AF312" s="174" t="s">
        <v>2211</v>
      </c>
      <c r="AG312" s="174" t="s">
        <v>2398</v>
      </c>
      <c r="AH312" s="174" t="s">
        <v>2139</v>
      </c>
      <c r="AI312" s="174" t="s">
        <v>2566</v>
      </c>
      <c r="AJ312" s="174" t="s">
        <v>2032</v>
      </c>
      <c r="AK312" s="174" t="s">
        <v>2728</v>
      </c>
      <c r="AL312" s="174" t="s">
        <v>2729</v>
      </c>
      <c r="AM312" s="174" t="s">
        <v>2730</v>
      </c>
      <c r="AU312" s="174" t="s">
        <v>2731</v>
      </c>
      <c r="AV312" s="174" t="s">
        <v>629</v>
      </c>
      <c r="AW312" s="174" t="s">
        <v>248</v>
      </c>
    </row>
    <row r="313" spans="5:49" ht="13.35" customHeight="1" x14ac:dyDescent="0.2">
      <c r="E313" s="221" t="s">
        <v>2732</v>
      </c>
      <c r="F313" s="174">
        <v>105</v>
      </c>
      <c r="G313" s="174" t="s">
        <v>206</v>
      </c>
      <c r="H313" s="174" t="s">
        <v>2733</v>
      </c>
      <c r="I313" s="174" t="s">
        <v>2734</v>
      </c>
      <c r="J313" s="174" t="s">
        <v>2735</v>
      </c>
      <c r="K313" s="174" t="s">
        <v>2736</v>
      </c>
      <c r="L313" s="174" t="s">
        <v>2737</v>
      </c>
      <c r="M313" s="174" t="s">
        <v>2738</v>
      </c>
      <c r="N313" s="174" t="s">
        <v>2739</v>
      </c>
      <c r="O313" s="174" t="s">
        <v>2579</v>
      </c>
      <c r="Y313" s="174" t="s">
        <v>2740</v>
      </c>
      <c r="Z313" s="174" t="s">
        <v>2741</v>
      </c>
      <c r="AA313" s="174" t="s">
        <v>2499</v>
      </c>
      <c r="AB313" s="174" t="s">
        <v>2676</v>
      </c>
      <c r="AC313" s="174" t="s">
        <v>2491</v>
      </c>
      <c r="AD313" s="174" t="s">
        <v>2691</v>
      </c>
      <c r="AE313" s="174" t="s">
        <v>2581</v>
      </c>
      <c r="AF313" s="174" t="s">
        <v>2742</v>
      </c>
      <c r="AG313" s="174" t="s">
        <v>2743</v>
      </c>
      <c r="AH313" s="174" t="s">
        <v>2047</v>
      </c>
      <c r="AU313" s="174" t="s">
        <v>2584</v>
      </c>
      <c r="AV313" s="174" t="s">
        <v>248</v>
      </c>
      <c r="AW313" s="174" t="s">
        <v>248</v>
      </c>
    </row>
    <row r="314" spans="5:49" ht="13.35" customHeight="1" x14ac:dyDescent="0.2">
      <c r="E314" s="221" t="s">
        <v>2744</v>
      </c>
      <c r="F314" s="174">
        <v>64</v>
      </c>
      <c r="G314" s="174" t="s">
        <v>206</v>
      </c>
      <c r="H314" s="174" t="s">
        <v>2745</v>
      </c>
      <c r="I314" s="174" t="s">
        <v>2746</v>
      </c>
      <c r="J314" s="174" t="s">
        <v>2667</v>
      </c>
      <c r="K314" s="174" t="s">
        <v>2747</v>
      </c>
      <c r="L314" s="174" t="s">
        <v>2748</v>
      </c>
      <c r="M314" s="174" t="s">
        <v>2666</v>
      </c>
      <c r="N314" s="174" t="s">
        <v>2749</v>
      </c>
      <c r="O314" s="174" t="s">
        <v>2750</v>
      </c>
      <c r="Y314" s="174" t="s">
        <v>2751</v>
      </c>
      <c r="Z314" s="174" t="s">
        <v>2199</v>
      </c>
      <c r="AA314" s="174" t="s">
        <v>2752</v>
      </c>
      <c r="AB314" s="174" t="s">
        <v>2753</v>
      </c>
      <c r="AC314" s="174" t="s">
        <v>2071</v>
      </c>
      <c r="AD314" s="174" t="s">
        <v>2754</v>
      </c>
      <c r="AE314" s="174" t="s">
        <v>2755</v>
      </c>
      <c r="AF314" s="174" t="s">
        <v>2756</v>
      </c>
      <c r="AG314" s="174" t="s">
        <v>2031</v>
      </c>
      <c r="AH314" s="174" t="s">
        <v>2757</v>
      </c>
      <c r="AI314" s="174" t="s">
        <v>2212</v>
      </c>
      <c r="AJ314" s="174" t="s">
        <v>2758</v>
      </c>
      <c r="AK314" s="174" t="s">
        <v>2759</v>
      </c>
      <c r="AL314" s="174" t="s">
        <v>2760</v>
      </c>
      <c r="AM314" s="174" t="s">
        <v>2761</v>
      </c>
      <c r="AN314" s="174" t="s">
        <v>2292</v>
      </c>
      <c r="AO314" s="174" t="s">
        <v>2762</v>
      </c>
      <c r="AU314" s="174" t="s">
        <v>2763</v>
      </c>
      <c r="AV314" s="174" t="s">
        <v>1703</v>
      </c>
      <c r="AW314" s="174" t="s">
        <v>248</v>
      </c>
    </row>
    <row r="315" spans="5:49" ht="13.35" customHeight="1" x14ac:dyDescent="0.2">
      <c r="E315" s="221" t="s">
        <v>2764</v>
      </c>
      <c r="F315" s="174">
        <v>129</v>
      </c>
      <c r="G315" s="174" t="s">
        <v>2261</v>
      </c>
      <c r="H315" s="174" t="s">
        <v>2765</v>
      </c>
      <c r="I315" s="174" t="s">
        <v>2766</v>
      </c>
      <c r="J315" s="174" t="s">
        <v>2767</v>
      </c>
      <c r="K315" s="174" t="s">
        <v>2768</v>
      </c>
      <c r="L315" s="174" t="s">
        <v>2769</v>
      </c>
      <c r="M315" s="174" t="s">
        <v>2770</v>
      </c>
      <c r="N315" s="174" t="s">
        <v>2771</v>
      </c>
      <c r="O315" s="174" t="s">
        <v>2772</v>
      </c>
      <c r="Y315" s="174" t="s">
        <v>2258</v>
      </c>
      <c r="Z315" s="174" t="s">
        <v>2773</v>
      </c>
      <c r="AA315" s="174" t="s">
        <v>2162</v>
      </c>
      <c r="AB315" s="174" t="s">
        <v>2774</v>
      </c>
      <c r="AC315" s="174" t="s">
        <v>2775</v>
      </c>
      <c r="AD315" s="174" t="s">
        <v>2210</v>
      </c>
      <c r="AE315" s="174" t="s">
        <v>2776</v>
      </c>
      <c r="AF315" s="174" t="s">
        <v>2160</v>
      </c>
      <c r="AG315" s="174" t="s">
        <v>2469</v>
      </c>
      <c r="AH315" s="174" t="s">
        <v>2160</v>
      </c>
      <c r="AI315" s="174" t="s">
        <v>2031</v>
      </c>
      <c r="AJ315" s="174" t="s">
        <v>2777</v>
      </c>
      <c r="AK315" s="174" t="s">
        <v>2759</v>
      </c>
      <c r="AL315" s="174" t="s">
        <v>2778</v>
      </c>
      <c r="AM315" s="174" t="s">
        <v>2236</v>
      </c>
      <c r="AN315" s="174" t="s">
        <v>2139</v>
      </c>
      <c r="AU315" s="174" t="s">
        <v>248</v>
      </c>
      <c r="AV315" s="174" t="s">
        <v>2779</v>
      </c>
      <c r="AW315" s="174" t="s">
        <v>225</v>
      </c>
    </row>
    <row r="316" spans="5:49" ht="13.35" customHeight="1" x14ac:dyDescent="0.2">
      <c r="E316" s="221" t="s">
        <v>2780</v>
      </c>
      <c r="F316" s="174">
        <v>55</v>
      </c>
      <c r="G316" s="174" t="s">
        <v>206</v>
      </c>
      <c r="H316" s="174" t="s">
        <v>2781</v>
      </c>
      <c r="I316" s="174" t="s">
        <v>2782</v>
      </c>
      <c r="J316" s="174" t="s">
        <v>2783</v>
      </c>
      <c r="K316" s="174" t="s">
        <v>2784</v>
      </c>
      <c r="L316" s="174" t="s">
        <v>2785</v>
      </c>
      <c r="Y316" s="174" t="s">
        <v>2786</v>
      </c>
      <c r="Z316" s="174" t="s">
        <v>2787</v>
      </c>
      <c r="AA316" s="174" t="s">
        <v>2030</v>
      </c>
      <c r="AB316" s="174" t="s">
        <v>2199</v>
      </c>
      <c r="AC316" s="174" t="s">
        <v>2788</v>
      </c>
      <c r="AD316" s="174" t="s">
        <v>2789</v>
      </c>
      <c r="AE316" s="174" t="s">
        <v>2162</v>
      </c>
      <c r="AF316" s="174" t="s">
        <v>2774</v>
      </c>
      <c r="AG316" s="174" t="s">
        <v>2775</v>
      </c>
      <c r="AH316" s="174" t="s">
        <v>2566</v>
      </c>
      <c r="AI316" s="174" t="s">
        <v>2777</v>
      </c>
      <c r="AJ316" s="174" t="s">
        <v>2202</v>
      </c>
      <c r="AK316" s="174" t="s">
        <v>2790</v>
      </c>
      <c r="AL316" s="174" t="s">
        <v>2354</v>
      </c>
      <c r="AM316" s="174" t="s">
        <v>2139</v>
      </c>
      <c r="AU316" s="174" t="s">
        <v>248</v>
      </c>
      <c r="AV316" s="174" t="s">
        <v>248</v>
      </c>
      <c r="AW316" s="174" t="s">
        <v>248</v>
      </c>
    </row>
    <row r="317" spans="5:49" ht="13.35" customHeight="1" x14ac:dyDescent="0.2">
      <c r="E317" s="221" t="s">
        <v>2791</v>
      </c>
      <c r="F317" s="174">
        <v>51</v>
      </c>
      <c r="G317" s="174" t="s">
        <v>206</v>
      </c>
      <c r="H317" s="174" t="s">
        <v>2792</v>
      </c>
      <c r="I317" s="174" t="s">
        <v>2793</v>
      </c>
      <c r="J317" s="174" t="s">
        <v>2794</v>
      </c>
      <c r="K317" s="174" t="s">
        <v>2283</v>
      </c>
      <c r="L317" s="174" t="s">
        <v>2795</v>
      </c>
      <c r="M317" s="174" t="s">
        <v>2796</v>
      </c>
      <c r="N317" s="174" t="s">
        <v>2797</v>
      </c>
      <c r="O317" s="174" t="s">
        <v>2798</v>
      </c>
      <c r="P317" s="174" t="s">
        <v>2799</v>
      </c>
      <c r="Y317" s="174" t="s">
        <v>2559</v>
      </c>
      <c r="Z317" s="174" t="s">
        <v>2754</v>
      </c>
      <c r="AA317" s="174" t="s">
        <v>2775</v>
      </c>
      <c r="AB317" s="174" t="s">
        <v>2568</v>
      </c>
      <c r="AC317" s="174" t="s">
        <v>2800</v>
      </c>
      <c r="AD317" s="174" t="s">
        <v>2801</v>
      </c>
      <c r="AE317" s="174" t="s">
        <v>2802</v>
      </c>
      <c r="AF317" s="174" t="s">
        <v>2583</v>
      </c>
      <c r="AG317" s="174" t="s">
        <v>2803</v>
      </c>
      <c r="AH317" s="174" t="s">
        <v>2804</v>
      </c>
      <c r="AI317" s="174" t="s">
        <v>2805</v>
      </c>
      <c r="AJ317" s="174" t="s">
        <v>2806</v>
      </c>
      <c r="AK317" s="174" t="s">
        <v>2289</v>
      </c>
      <c r="AL317" s="174" t="s">
        <v>2165</v>
      </c>
      <c r="AM317" s="174" t="s">
        <v>2344</v>
      </c>
      <c r="AU317" s="174" t="s">
        <v>248</v>
      </c>
      <c r="AV317" s="174" t="s">
        <v>248</v>
      </c>
      <c r="AW317" s="174" t="s">
        <v>248</v>
      </c>
    </row>
    <row r="318" spans="5:49" ht="13.35" customHeight="1" x14ac:dyDescent="0.2">
      <c r="E318" s="221" t="s">
        <v>2807</v>
      </c>
      <c r="F318" s="174">
        <v>127</v>
      </c>
      <c r="G318" s="174" t="s">
        <v>206</v>
      </c>
      <c r="H318" s="174" t="s">
        <v>2808</v>
      </c>
      <c r="I318" s="174" t="s">
        <v>2809</v>
      </c>
      <c r="J318" s="174" t="s">
        <v>2666</v>
      </c>
      <c r="K318" s="174" t="s">
        <v>2487</v>
      </c>
      <c r="L318" s="174" t="s">
        <v>2810</v>
      </c>
      <c r="M318" s="174" t="s">
        <v>2811</v>
      </c>
      <c r="Y318" s="174" t="s">
        <v>2559</v>
      </c>
      <c r="Z318" s="174" t="s">
        <v>2812</v>
      </c>
      <c r="AA318" s="174" t="s">
        <v>2755</v>
      </c>
      <c r="AB318" s="174" t="s">
        <v>2775</v>
      </c>
      <c r="AC318" s="174" t="s">
        <v>2050</v>
      </c>
      <c r="AD318" s="174" t="s">
        <v>2647</v>
      </c>
      <c r="AE318" s="174" t="s">
        <v>2212</v>
      </c>
      <c r="AF318" s="174" t="s">
        <v>2813</v>
      </c>
      <c r="AG318" s="174" t="s">
        <v>2144</v>
      </c>
      <c r="AH318" s="174" t="s">
        <v>2814</v>
      </c>
      <c r="AI318" s="174" t="s">
        <v>2815</v>
      </c>
      <c r="AJ318" s="174" t="s">
        <v>2816</v>
      </c>
      <c r="AK318" s="174" t="s">
        <v>2817</v>
      </c>
      <c r="AL318" s="174" t="s">
        <v>2801</v>
      </c>
      <c r="AM318" s="174" t="s">
        <v>2818</v>
      </c>
      <c r="AN318" s="174" t="s">
        <v>2778</v>
      </c>
      <c r="AU318" s="174" t="s">
        <v>2819</v>
      </c>
      <c r="AV318" s="174" t="s">
        <v>650</v>
      </c>
      <c r="AW318" s="174" t="s">
        <v>248</v>
      </c>
    </row>
    <row r="319" spans="5:49" ht="13.35" customHeight="1" x14ac:dyDescent="0.2">
      <c r="E319" s="221" t="s">
        <v>2820</v>
      </c>
      <c r="F319" s="174">
        <v>63</v>
      </c>
      <c r="G319" s="174" t="s">
        <v>206</v>
      </c>
      <c r="H319" s="174" t="s">
        <v>2808</v>
      </c>
      <c r="I319" s="174" t="s">
        <v>2746</v>
      </c>
      <c r="J319" s="174" t="s">
        <v>2821</v>
      </c>
      <c r="K319" s="174" t="s">
        <v>2748</v>
      </c>
      <c r="L319" s="174" t="s">
        <v>2822</v>
      </c>
      <c r="M319" s="174" t="s">
        <v>2823</v>
      </c>
      <c r="N319" s="174" t="s">
        <v>2824</v>
      </c>
      <c r="O319" s="174" t="s">
        <v>2825</v>
      </c>
      <c r="P319" s="174" t="s">
        <v>2811</v>
      </c>
      <c r="Y319" s="174" t="s">
        <v>2452</v>
      </c>
      <c r="Z319" s="174" t="s">
        <v>2047</v>
      </c>
      <c r="AA319" s="174" t="s">
        <v>2408</v>
      </c>
      <c r="AB319" s="174" t="s">
        <v>2644</v>
      </c>
      <c r="AC319" s="174" t="s">
        <v>2753</v>
      </c>
      <c r="AD319" s="174" t="s">
        <v>2826</v>
      </c>
      <c r="AE319" s="174" t="s">
        <v>2358</v>
      </c>
      <c r="AF319" s="174" t="s">
        <v>2754</v>
      </c>
      <c r="AG319" s="174" t="s">
        <v>2755</v>
      </c>
      <c r="AH319" s="174" t="s">
        <v>2775</v>
      </c>
      <c r="AI319" s="174" t="s">
        <v>2212</v>
      </c>
      <c r="AJ319" s="174" t="s">
        <v>2758</v>
      </c>
      <c r="AK319" s="174" t="s">
        <v>2801</v>
      </c>
      <c r="AL319" s="174" t="s">
        <v>2827</v>
      </c>
      <c r="AM319" s="174" t="s">
        <v>2778</v>
      </c>
      <c r="AN319" s="174" t="s">
        <v>2292</v>
      </c>
      <c r="AO319" s="174" t="s">
        <v>2828</v>
      </c>
      <c r="AU319" s="174" t="s">
        <v>2829</v>
      </c>
      <c r="AV319" s="174" t="s">
        <v>1703</v>
      </c>
      <c r="AW319" s="174" t="s">
        <v>248</v>
      </c>
    </row>
    <row r="320" spans="5:49" ht="13.35" customHeight="1" x14ac:dyDescent="0.2">
      <c r="E320" s="221" t="s">
        <v>2830</v>
      </c>
      <c r="F320" s="174">
        <v>149</v>
      </c>
      <c r="G320" s="174" t="s">
        <v>206</v>
      </c>
      <c r="H320" s="174" t="s">
        <v>2808</v>
      </c>
      <c r="I320" s="174" t="s">
        <v>2831</v>
      </c>
      <c r="J320" s="174" t="s">
        <v>2666</v>
      </c>
      <c r="K320" s="174" t="s">
        <v>2832</v>
      </c>
      <c r="L320" s="174" t="s">
        <v>2748</v>
      </c>
      <c r="M320" s="174" t="s">
        <v>2833</v>
      </c>
      <c r="N320" s="174" t="s">
        <v>2834</v>
      </c>
      <c r="O320" s="174" t="s">
        <v>2487</v>
      </c>
      <c r="P320" s="174" t="s">
        <v>2811</v>
      </c>
      <c r="Y320" s="174" t="s">
        <v>2835</v>
      </c>
      <c r="Z320" s="174" t="s">
        <v>2836</v>
      </c>
      <c r="AA320" s="174" t="s">
        <v>2837</v>
      </c>
      <c r="AB320" s="174" t="s">
        <v>2838</v>
      </c>
      <c r="AC320" s="174" t="s">
        <v>2839</v>
      </c>
      <c r="AD320" s="174" t="s">
        <v>2690</v>
      </c>
      <c r="AE320" s="174" t="s">
        <v>2752</v>
      </c>
      <c r="AF320" s="174" t="s">
        <v>2753</v>
      </c>
      <c r="AG320" s="174" t="s">
        <v>2358</v>
      </c>
      <c r="AH320" s="174" t="s">
        <v>2840</v>
      </c>
      <c r="AI320" s="174" t="s">
        <v>2841</v>
      </c>
      <c r="AJ320" s="174" t="s">
        <v>2775</v>
      </c>
      <c r="AK320" s="174" t="s">
        <v>2067</v>
      </c>
      <c r="AL320" s="174" t="s">
        <v>2842</v>
      </c>
      <c r="AM320" s="174" t="s">
        <v>2843</v>
      </c>
      <c r="AN320" s="174" t="s">
        <v>2139</v>
      </c>
      <c r="AO320" s="174" t="s">
        <v>2212</v>
      </c>
      <c r="AP320" s="174" t="s">
        <v>2758</v>
      </c>
      <c r="AQ320" s="174" t="s">
        <v>2801</v>
      </c>
      <c r="AR320" s="174" t="s">
        <v>2844</v>
      </c>
      <c r="AU320" s="174" t="s">
        <v>248</v>
      </c>
      <c r="AV320" s="174" t="s">
        <v>553</v>
      </c>
      <c r="AW320" s="174" t="s">
        <v>235</v>
      </c>
    </row>
    <row r="321" spans="5:49" ht="13.35" customHeight="1" x14ac:dyDescent="0.2">
      <c r="E321" s="221" t="s">
        <v>2845</v>
      </c>
      <c r="F321" s="174">
        <v>121</v>
      </c>
      <c r="G321" s="174" t="s">
        <v>206</v>
      </c>
      <c r="H321" s="174" t="s">
        <v>2846</v>
      </c>
      <c r="I321" s="174" t="s">
        <v>2847</v>
      </c>
      <c r="J321" s="174" t="s">
        <v>2848</v>
      </c>
      <c r="K321" s="174" t="s">
        <v>2849</v>
      </c>
      <c r="L321" s="174" t="s">
        <v>2850</v>
      </c>
      <c r="M321" s="174" t="s">
        <v>2851</v>
      </c>
      <c r="N321" s="174" t="s">
        <v>2487</v>
      </c>
      <c r="P321" s="174" t="s">
        <v>2811</v>
      </c>
      <c r="Y321" s="174" t="s">
        <v>2438</v>
      </c>
      <c r="Z321" s="174" t="s">
        <v>2139</v>
      </c>
      <c r="AA321" s="174" t="s">
        <v>2019</v>
      </c>
      <c r="AB321" s="174" t="s">
        <v>2020</v>
      </c>
      <c r="AC321" s="174" t="s">
        <v>2071</v>
      </c>
      <c r="AD321" s="174" t="s">
        <v>2840</v>
      </c>
      <c r="AE321" s="174" t="s">
        <v>2812</v>
      </c>
      <c r="AF321" s="174" t="s">
        <v>2775</v>
      </c>
      <c r="AG321" s="174" t="s">
        <v>2521</v>
      </c>
      <c r="AH321" s="174" t="s">
        <v>2842</v>
      </c>
      <c r="AI321" s="174" t="s">
        <v>2843</v>
      </c>
      <c r="AJ321" s="174" t="s">
        <v>2139</v>
      </c>
      <c r="AK321" s="174" t="s">
        <v>2212</v>
      </c>
      <c r="AL321" s="174" t="s">
        <v>2758</v>
      </c>
      <c r="AM321" s="174" t="s">
        <v>2801</v>
      </c>
      <c r="AN321" s="174" t="s">
        <v>2761</v>
      </c>
      <c r="AO321" s="174" t="s">
        <v>2236</v>
      </c>
      <c r="AP321" s="174" t="s">
        <v>2139</v>
      </c>
      <c r="AU321" s="174" t="s">
        <v>248</v>
      </c>
      <c r="AV321" s="174" t="s">
        <v>248</v>
      </c>
      <c r="AW321" s="174" t="s">
        <v>248</v>
      </c>
    </row>
    <row r="322" spans="5:49" ht="13.35" customHeight="1" x14ac:dyDescent="0.2">
      <c r="E322" s="221" t="s">
        <v>2852</v>
      </c>
      <c r="F322" s="174">
        <v>95</v>
      </c>
      <c r="G322" s="174" t="s">
        <v>206</v>
      </c>
      <c r="H322" s="174" t="s">
        <v>2853</v>
      </c>
      <c r="I322" s="174" t="s">
        <v>2854</v>
      </c>
      <c r="J322" s="174" t="s">
        <v>2855</v>
      </c>
      <c r="K322" s="174" t="s">
        <v>2856</v>
      </c>
      <c r="L322" s="174" t="s">
        <v>2857</v>
      </c>
      <c r="M322" s="174" t="s">
        <v>2858</v>
      </c>
      <c r="N322" s="174" t="s">
        <v>2859</v>
      </c>
      <c r="Y322" s="174" t="s">
        <v>2324</v>
      </c>
      <c r="Z322" s="174" t="s">
        <v>2047</v>
      </c>
      <c r="AA322" s="174" t="s">
        <v>2860</v>
      </c>
      <c r="AB322" s="174" t="s">
        <v>2139</v>
      </c>
      <c r="AC322" s="174" t="s">
        <v>2019</v>
      </c>
      <c r="AD322" s="174" t="s">
        <v>2020</v>
      </c>
      <c r="AE322" s="174" t="s">
        <v>2162</v>
      </c>
      <c r="AF322" s="174" t="s">
        <v>2812</v>
      </c>
      <c r="AG322" s="174" t="s">
        <v>2775</v>
      </c>
      <c r="AH322" s="174" t="s">
        <v>2398</v>
      </c>
      <c r="AI322" s="174" t="s">
        <v>2861</v>
      </c>
      <c r="AJ322" s="174" t="s">
        <v>2801</v>
      </c>
      <c r="AK322" s="174" t="s">
        <v>2862</v>
      </c>
      <c r="AL322" s="174" t="s">
        <v>2863</v>
      </c>
      <c r="AM322" s="174" t="s">
        <v>2047</v>
      </c>
      <c r="AN322" s="174" t="s">
        <v>2864</v>
      </c>
      <c r="AO322" s="174" t="s">
        <v>2139</v>
      </c>
      <c r="AU322" s="174" t="s">
        <v>248</v>
      </c>
      <c r="AV322" s="174" t="s">
        <v>248</v>
      </c>
      <c r="AW322" s="174" t="s">
        <v>2150</v>
      </c>
    </row>
    <row r="323" spans="5:49" ht="13.35" customHeight="1" x14ac:dyDescent="0.2">
      <c r="E323" s="221" t="s">
        <v>2865</v>
      </c>
      <c r="F323" s="174">
        <v>94</v>
      </c>
      <c r="G323" s="174" t="s">
        <v>206</v>
      </c>
      <c r="H323" s="174" t="s">
        <v>2853</v>
      </c>
      <c r="I323" s="174" t="s">
        <v>2854</v>
      </c>
      <c r="J323" s="174" t="s">
        <v>2866</v>
      </c>
      <c r="K323" s="174" t="s">
        <v>2848</v>
      </c>
      <c r="L323" s="174" t="s">
        <v>2867</v>
      </c>
      <c r="M323" s="174" t="s">
        <v>2868</v>
      </c>
      <c r="N323" s="174" t="s">
        <v>2869</v>
      </c>
      <c r="O323" s="174" t="s">
        <v>2859</v>
      </c>
      <c r="Y323" s="174" t="s">
        <v>2870</v>
      </c>
      <c r="Z323" s="174" t="s">
        <v>2047</v>
      </c>
      <c r="AA323" s="174" t="s">
        <v>2871</v>
      </c>
      <c r="AB323" s="174" t="s">
        <v>2049</v>
      </c>
      <c r="AC323" s="174" t="s">
        <v>2019</v>
      </c>
      <c r="AD323" s="174" t="s">
        <v>2872</v>
      </c>
      <c r="AE323" s="174" t="s">
        <v>2358</v>
      </c>
      <c r="AF323" s="174" t="s">
        <v>2164</v>
      </c>
      <c r="AG323" s="174" t="s">
        <v>2775</v>
      </c>
      <c r="AH323" s="174" t="s">
        <v>2443</v>
      </c>
      <c r="AI323" s="174" t="s">
        <v>2873</v>
      </c>
      <c r="AJ323" s="174" t="s">
        <v>2874</v>
      </c>
      <c r="AK323" s="174" t="s">
        <v>2875</v>
      </c>
      <c r="AL323" s="174" t="s">
        <v>2863</v>
      </c>
      <c r="AM323" s="174" t="s">
        <v>2047</v>
      </c>
      <c r="AN323" s="174" t="s">
        <v>2864</v>
      </c>
      <c r="AO323" s="174" t="s">
        <v>2139</v>
      </c>
      <c r="AU323" s="174" t="s">
        <v>248</v>
      </c>
      <c r="AV323" s="174" t="s">
        <v>248</v>
      </c>
      <c r="AW323" s="174" t="s">
        <v>2150</v>
      </c>
    </row>
    <row r="324" spans="5:49" ht="13.35" customHeight="1" x14ac:dyDescent="0.2">
      <c r="E324" s="221" t="s">
        <v>2876</v>
      </c>
      <c r="F324" s="174">
        <v>116</v>
      </c>
      <c r="G324" s="174" t="s">
        <v>206</v>
      </c>
      <c r="H324" s="174" t="s">
        <v>2808</v>
      </c>
      <c r="I324" s="174" t="s">
        <v>2527</v>
      </c>
      <c r="J324" s="174" t="s">
        <v>2877</v>
      </c>
      <c r="K324" s="174" t="s">
        <v>2878</v>
      </c>
      <c r="L324" s="174" t="s">
        <v>2848</v>
      </c>
      <c r="M324" s="174" t="s">
        <v>2868</v>
      </c>
      <c r="N324" s="174" t="s">
        <v>2869</v>
      </c>
      <c r="O324" s="174" t="s">
        <v>2798</v>
      </c>
      <c r="P324" s="174" t="s">
        <v>2799</v>
      </c>
      <c r="Y324" s="174" t="s">
        <v>2311</v>
      </c>
      <c r="Z324" s="174" t="s">
        <v>2286</v>
      </c>
      <c r="AA324" s="174" t="s">
        <v>2754</v>
      </c>
      <c r="AB324" s="174" t="s">
        <v>2775</v>
      </c>
      <c r="AC324" s="174" t="s">
        <v>2212</v>
      </c>
      <c r="AD324" s="174" t="s">
        <v>2813</v>
      </c>
      <c r="AE324" s="174" t="s">
        <v>2879</v>
      </c>
      <c r="AF324" s="174" t="s">
        <v>2802</v>
      </c>
      <c r="AG324" s="174" t="s">
        <v>2880</v>
      </c>
      <c r="AH324" s="174" t="s">
        <v>2033</v>
      </c>
      <c r="AI324" s="174" t="s">
        <v>2881</v>
      </c>
      <c r="AJ324" s="174" t="s">
        <v>2443</v>
      </c>
      <c r="AK324" s="174" t="s">
        <v>2288</v>
      </c>
      <c r="AL324" s="174" t="s">
        <v>2289</v>
      </c>
      <c r="AU324" s="174" t="s">
        <v>248</v>
      </c>
      <c r="AV324" s="174" t="s">
        <v>681</v>
      </c>
      <c r="AW324" s="174" t="s">
        <v>2882</v>
      </c>
    </row>
    <row r="325" spans="5:49" ht="13.35" customHeight="1" x14ac:dyDescent="0.2">
      <c r="E325" s="221" t="s">
        <v>2883</v>
      </c>
      <c r="F325" s="174">
        <v>162</v>
      </c>
      <c r="G325" s="174" t="s">
        <v>206</v>
      </c>
      <c r="H325" s="174" t="s">
        <v>2884</v>
      </c>
      <c r="I325" s="174" t="s">
        <v>2885</v>
      </c>
      <c r="J325" s="174" t="s">
        <v>2886</v>
      </c>
      <c r="K325" s="174" t="s">
        <v>2887</v>
      </c>
      <c r="L325" s="174" t="s">
        <v>2888</v>
      </c>
      <c r="M325" s="174" t="s">
        <v>2889</v>
      </c>
      <c r="N325" s="174" t="s">
        <v>2890</v>
      </c>
      <c r="O325" s="174" t="s">
        <v>2891</v>
      </c>
      <c r="P325" s="174" t="s">
        <v>2892</v>
      </c>
      <c r="Q325" s="174" t="s">
        <v>2893</v>
      </c>
      <c r="Y325" s="174" t="s">
        <v>2311</v>
      </c>
      <c r="Z325" s="174" t="s">
        <v>2774</v>
      </c>
      <c r="AA325" s="174" t="s">
        <v>2775</v>
      </c>
      <c r="AB325" s="174" t="s">
        <v>2894</v>
      </c>
      <c r="AC325" s="174" t="s">
        <v>2895</v>
      </c>
      <c r="AD325" s="174" t="s">
        <v>2139</v>
      </c>
      <c r="AE325" s="174" t="s">
        <v>2312</v>
      </c>
      <c r="AF325" s="174" t="s">
        <v>2896</v>
      </c>
      <c r="AG325" s="174" t="s">
        <v>2897</v>
      </c>
      <c r="AH325" s="174" t="s">
        <v>2898</v>
      </c>
      <c r="AI325" s="174" t="s">
        <v>2899</v>
      </c>
      <c r="AJ325" s="174" t="s">
        <v>2139</v>
      </c>
      <c r="AK325" s="174" t="s">
        <v>2067</v>
      </c>
      <c r="AL325" s="174" t="s">
        <v>2047</v>
      </c>
      <c r="AM325" s="174" t="s">
        <v>2031</v>
      </c>
      <c r="AN325" s="174" t="s">
        <v>2757</v>
      </c>
      <c r="AO325" s="174" t="s">
        <v>2212</v>
      </c>
      <c r="AP325" s="174" t="s">
        <v>2900</v>
      </c>
      <c r="AQ325" s="174" t="s">
        <v>2801</v>
      </c>
      <c r="AR325" s="174" t="s">
        <v>2901</v>
      </c>
      <c r="AS325" s="174" t="s">
        <v>2902</v>
      </c>
      <c r="AU325" s="174" t="s">
        <v>248</v>
      </c>
      <c r="AV325" s="174" t="s">
        <v>248</v>
      </c>
      <c r="AW325" s="174" t="s">
        <v>233</v>
      </c>
    </row>
    <row r="326" spans="5:49" ht="13.35" customHeight="1" x14ac:dyDescent="0.2">
      <c r="E326" s="221" t="s">
        <v>2903</v>
      </c>
      <c r="F326" s="174">
        <v>124</v>
      </c>
      <c r="G326" s="174" t="s">
        <v>206</v>
      </c>
      <c r="H326" s="174" t="s">
        <v>2904</v>
      </c>
      <c r="I326" s="174" t="s">
        <v>2905</v>
      </c>
      <c r="J326" s="174" t="s">
        <v>2906</v>
      </c>
      <c r="K326" s="174" t="s">
        <v>2907</v>
      </c>
      <c r="L326" s="174" t="s">
        <v>2908</v>
      </c>
      <c r="M326" s="174" t="s">
        <v>2909</v>
      </c>
      <c r="N326" s="174" t="s">
        <v>2910</v>
      </c>
      <c r="O326" s="174" t="s">
        <v>2911</v>
      </c>
      <c r="P326" s="174" t="s">
        <v>2628</v>
      </c>
      <c r="Y326" s="174" t="s">
        <v>2025</v>
      </c>
      <c r="Z326" s="174" t="s">
        <v>2160</v>
      </c>
      <c r="AA326" s="174" t="s">
        <v>2162</v>
      </c>
      <c r="AB326" s="174" t="s">
        <v>2072</v>
      </c>
      <c r="AC326" s="174" t="s">
        <v>2343</v>
      </c>
      <c r="AD326" s="174" t="s">
        <v>2912</v>
      </c>
      <c r="AE326" s="174" t="s">
        <v>2913</v>
      </c>
      <c r="AF326" s="174" t="s">
        <v>2914</v>
      </c>
      <c r="AG326" s="174" t="s">
        <v>2915</v>
      </c>
      <c r="AH326" s="174" t="s">
        <v>2047</v>
      </c>
      <c r="AI326" s="174" t="s">
        <v>2067</v>
      </c>
      <c r="AJ326" s="174" t="s">
        <v>2916</v>
      </c>
      <c r="AK326" s="174" t="s">
        <v>2917</v>
      </c>
      <c r="AL326" s="174" t="s">
        <v>2918</v>
      </c>
      <c r="AM326" s="174" t="s">
        <v>2079</v>
      </c>
      <c r="AN326" s="174" t="s">
        <v>2078</v>
      </c>
      <c r="AU326" s="174" t="s">
        <v>248</v>
      </c>
      <c r="AV326" s="174" t="s">
        <v>248</v>
      </c>
      <c r="AW326" s="174" t="s">
        <v>233</v>
      </c>
    </row>
    <row r="327" spans="5:49" ht="13.35" customHeight="1" x14ac:dyDescent="0.2">
      <c r="E327" s="221" t="s">
        <v>2919</v>
      </c>
      <c r="F327" s="174">
        <v>102</v>
      </c>
      <c r="G327" s="174" t="s">
        <v>2261</v>
      </c>
      <c r="H327" s="174" t="s">
        <v>2920</v>
      </c>
      <c r="I327" s="174" t="s">
        <v>2921</v>
      </c>
      <c r="J327" s="174" t="s">
        <v>2922</v>
      </c>
      <c r="K327" s="174" t="s">
        <v>2923</v>
      </c>
      <c r="L327" s="174" t="s">
        <v>2924</v>
      </c>
      <c r="M327" s="174" t="s">
        <v>2925</v>
      </c>
      <c r="N327" s="174" t="s">
        <v>2926</v>
      </c>
      <c r="Y327" s="174" t="s">
        <v>2927</v>
      </c>
      <c r="Z327" s="174" t="s">
        <v>2412</v>
      </c>
      <c r="AA327" s="174" t="s">
        <v>2178</v>
      </c>
      <c r="AB327" s="174" t="s">
        <v>2198</v>
      </c>
      <c r="AC327" s="174" t="s">
        <v>2117</v>
      </c>
      <c r="AD327" s="174" t="s">
        <v>2139</v>
      </c>
      <c r="AE327" s="174" t="s">
        <v>2916</v>
      </c>
      <c r="AF327" s="174" t="s">
        <v>2928</v>
      </c>
      <c r="AG327" s="174" t="s">
        <v>2135</v>
      </c>
      <c r="AH327" s="174" t="s">
        <v>2929</v>
      </c>
      <c r="AI327" s="174" t="s">
        <v>2077</v>
      </c>
      <c r="AJ327" s="174" t="s">
        <v>2930</v>
      </c>
      <c r="AU327" s="174" t="s">
        <v>248</v>
      </c>
      <c r="AV327" s="174" t="s">
        <v>248</v>
      </c>
      <c r="AW327" s="174" t="s">
        <v>248</v>
      </c>
    </row>
    <row r="328" spans="5:49" ht="13.35" customHeight="1" x14ac:dyDescent="0.2">
      <c r="E328" s="221" t="s">
        <v>2931</v>
      </c>
      <c r="F328" s="174">
        <v>122</v>
      </c>
      <c r="G328" s="174" t="s">
        <v>206</v>
      </c>
      <c r="H328" s="174" t="s">
        <v>2932</v>
      </c>
      <c r="I328" s="174" t="s">
        <v>2933</v>
      </c>
      <c r="J328" s="174" t="s">
        <v>2934</v>
      </c>
      <c r="K328" s="174" t="s">
        <v>2935</v>
      </c>
      <c r="L328" s="174" t="s">
        <v>2936</v>
      </c>
      <c r="M328" s="174" t="s">
        <v>2937</v>
      </c>
      <c r="N328" s="174" t="s">
        <v>2938</v>
      </c>
      <c r="Y328" s="174" t="s">
        <v>2113</v>
      </c>
      <c r="Z328" s="174" t="s">
        <v>2028</v>
      </c>
      <c r="AA328" s="174" t="s">
        <v>2939</v>
      </c>
      <c r="AB328" s="174" t="s">
        <v>2940</v>
      </c>
      <c r="AC328" s="174" t="s">
        <v>2773</v>
      </c>
      <c r="AD328" s="174" t="s">
        <v>2312</v>
      </c>
      <c r="AE328" s="174" t="s">
        <v>2941</v>
      </c>
      <c r="AF328" s="174" t="s">
        <v>2942</v>
      </c>
      <c r="AG328" s="174" t="s">
        <v>2943</v>
      </c>
      <c r="AH328" s="174" t="s">
        <v>2816</v>
      </c>
      <c r="AI328" s="174" t="s">
        <v>2817</v>
      </c>
      <c r="AJ328" s="174" t="s">
        <v>2944</v>
      </c>
      <c r="AK328" s="174" t="s">
        <v>2916</v>
      </c>
      <c r="AL328" s="174" t="s">
        <v>2945</v>
      </c>
      <c r="AU328" s="174" t="s">
        <v>248</v>
      </c>
      <c r="AV328" s="174" t="s">
        <v>248</v>
      </c>
      <c r="AW328" s="174" t="s">
        <v>248</v>
      </c>
    </row>
    <row r="329" spans="5:49" ht="13.35" customHeight="1" x14ac:dyDescent="0.2">
      <c r="E329" s="221" t="s">
        <v>2946</v>
      </c>
      <c r="F329" s="174">
        <v>124</v>
      </c>
      <c r="G329" s="174" t="s">
        <v>206</v>
      </c>
      <c r="H329" s="174" t="s">
        <v>2947</v>
      </c>
      <c r="I329" s="174" t="s">
        <v>2948</v>
      </c>
      <c r="J329" s="174" t="s">
        <v>2949</v>
      </c>
      <c r="K329" s="174" t="s">
        <v>2950</v>
      </c>
      <c r="L329" s="174" t="s">
        <v>2951</v>
      </c>
      <c r="Y329" s="174" t="s">
        <v>2411</v>
      </c>
      <c r="Z329" s="174" t="s">
        <v>2428</v>
      </c>
      <c r="AA329" s="174" t="s">
        <v>2113</v>
      </c>
      <c r="AB329" s="174" t="s">
        <v>2355</v>
      </c>
      <c r="AC329" s="174" t="s">
        <v>2258</v>
      </c>
      <c r="AD329" s="174" t="s">
        <v>2940</v>
      </c>
      <c r="AE329" s="174" t="s">
        <v>2952</v>
      </c>
      <c r="AF329" s="174" t="s">
        <v>2953</v>
      </c>
      <c r="AG329" s="174" t="s">
        <v>2954</v>
      </c>
      <c r="AH329" s="174" t="s">
        <v>2955</v>
      </c>
      <c r="AI329" s="174" t="s">
        <v>2916</v>
      </c>
      <c r="AJ329" s="174" t="s">
        <v>2956</v>
      </c>
      <c r="AK329" s="174" t="s">
        <v>2941</v>
      </c>
      <c r="AU329" s="174" t="s">
        <v>248</v>
      </c>
      <c r="AV329" s="174" t="s">
        <v>248</v>
      </c>
      <c r="AW329" s="174" t="s">
        <v>248</v>
      </c>
    </row>
    <row r="330" spans="5:49" ht="13.35" customHeight="1" x14ac:dyDescent="0.2">
      <c r="E330" s="221" t="s">
        <v>2957</v>
      </c>
      <c r="F330" s="174">
        <v>130</v>
      </c>
      <c r="G330" s="174" t="s">
        <v>248</v>
      </c>
      <c r="H330" s="174" t="s">
        <v>2958</v>
      </c>
      <c r="I330" s="174" t="s">
        <v>2959</v>
      </c>
      <c r="J330" s="174" t="s">
        <v>2960</v>
      </c>
      <c r="K330" s="174" t="s">
        <v>2961</v>
      </c>
      <c r="L330" s="174" t="s">
        <v>2962</v>
      </c>
      <c r="M330" s="174" t="s">
        <v>2963</v>
      </c>
      <c r="N330" s="174" t="s">
        <v>2964</v>
      </c>
      <c r="O330" s="174" t="s">
        <v>2965</v>
      </c>
      <c r="Y330" s="174" t="s">
        <v>2113</v>
      </c>
      <c r="Z330" s="174" t="s">
        <v>2355</v>
      </c>
      <c r="AA330" s="174" t="s">
        <v>2258</v>
      </c>
      <c r="AB330" s="174" t="s">
        <v>2726</v>
      </c>
      <c r="AC330" s="174" t="s">
        <v>2356</v>
      </c>
      <c r="AD330" s="174" t="s">
        <v>2357</v>
      </c>
      <c r="AE330" s="174" t="s">
        <v>2162</v>
      </c>
      <c r="AF330" s="174" t="s">
        <v>2359</v>
      </c>
      <c r="AG330" s="174" t="s">
        <v>2966</v>
      </c>
      <c r="AH330" s="174" t="s">
        <v>2160</v>
      </c>
      <c r="AI330" s="174" t="s">
        <v>2345</v>
      </c>
      <c r="AJ330" s="174" t="s">
        <v>2967</v>
      </c>
      <c r="AK330" s="174" t="s">
        <v>2968</v>
      </c>
      <c r="AL330" s="174" t="s">
        <v>2969</v>
      </c>
      <c r="AM330" s="174" t="s">
        <v>2943</v>
      </c>
      <c r="AN330" s="174" t="s">
        <v>2676</v>
      </c>
      <c r="AU330" s="174" t="s">
        <v>248</v>
      </c>
      <c r="AV330" s="174" t="s">
        <v>248</v>
      </c>
      <c r="AW330" s="174" t="s">
        <v>2970</v>
      </c>
    </row>
    <row r="331" spans="5:49" ht="13.35" customHeight="1" x14ac:dyDescent="0.2">
      <c r="E331" s="221" t="s">
        <v>2971</v>
      </c>
      <c r="F331" s="174">
        <v>108</v>
      </c>
      <c r="G331" s="174" t="s">
        <v>206</v>
      </c>
      <c r="H331" s="174" t="s">
        <v>2972</v>
      </c>
      <c r="I331" s="174" t="s">
        <v>2973</v>
      </c>
      <c r="J331" s="174" t="s">
        <v>2974</v>
      </c>
      <c r="K331" s="174" t="s">
        <v>2975</v>
      </c>
      <c r="L331" s="174" t="s">
        <v>2976</v>
      </c>
      <c r="M331" s="174" t="s">
        <v>2977</v>
      </c>
      <c r="N331" s="174" t="s">
        <v>2978</v>
      </c>
      <c r="O331" s="174" t="s">
        <v>2979</v>
      </c>
      <c r="Y331" s="174" t="s">
        <v>2411</v>
      </c>
      <c r="Z331" s="174" t="s">
        <v>2980</v>
      </c>
      <c r="AA331" s="174" t="s">
        <v>2178</v>
      </c>
      <c r="AB331" s="174" t="s">
        <v>2198</v>
      </c>
      <c r="AC331" s="174" t="s">
        <v>2199</v>
      </c>
      <c r="AD331" s="174" t="s">
        <v>2981</v>
      </c>
      <c r="AE331" s="174" t="s">
        <v>2982</v>
      </c>
      <c r="AF331" s="174" t="s">
        <v>2213</v>
      </c>
      <c r="AG331" s="174" t="s">
        <v>2916</v>
      </c>
      <c r="AH331" s="174" t="s">
        <v>2983</v>
      </c>
      <c r="AI331" s="174" t="s">
        <v>2984</v>
      </c>
      <c r="AJ331" s="174" t="s">
        <v>2135</v>
      </c>
      <c r="AK331" s="174" t="s">
        <v>2929</v>
      </c>
      <c r="AL331" s="174" t="s">
        <v>2202</v>
      </c>
      <c r="AM331" s="174" t="s">
        <v>2790</v>
      </c>
      <c r="AU331" s="174" t="s">
        <v>248</v>
      </c>
      <c r="AV331" s="174" t="s">
        <v>248</v>
      </c>
      <c r="AW331" s="174" t="s">
        <v>231</v>
      </c>
    </row>
    <row r="332" spans="5:49" ht="13.35" customHeight="1" x14ac:dyDescent="0.2">
      <c r="E332" s="221" t="s">
        <v>2985</v>
      </c>
      <c r="F332" s="174">
        <v>144</v>
      </c>
      <c r="G332" s="174" t="s">
        <v>206</v>
      </c>
      <c r="H332" s="174" t="s">
        <v>2986</v>
      </c>
      <c r="I332" s="174" t="s">
        <v>2987</v>
      </c>
      <c r="J332" s="174" t="s">
        <v>2988</v>
      </c>
      <c r="K332" s="174" t="s">
        <v>2989</v>
      </c>
      <c r="L332" s="174" t="s">
        <v>2990</v>
      </c>
      <c r="M332" s="174" t="s">
        <v>2991</v>
      </c>
      <c r="N332" s="174" t="s">
        <v>2992</v>
      </c>
      <c r="O332" s="174" t="s">
        <v>2993</v>
      </c>
      <c r="P332" s="174" t="s">
        <v>2994</v>
      </c>
      <c r="Q332" s="174" t="s">
        <v>2995</v>
      </c>
      <c r="Y332" s="174" t="s">
        <v>2025</v>
      </c>
      <c r="Z332" s="174" t="s">
        <v>2996</v>
      </c>
      <c r="AA332" s="174" t="s">
        <v>2248</v>
      </c>
      <c r="AB332" s="174" t="s">
        <v>2024</v>
      </c>
      <c r="AC332" s="174" t="s">
        <v>2226</v>
      </c>
      <c r="AD332" s="174" t="s">
        <v>2513</v>
      </c>
      <c r="AE332" s="174" t="s">
        <v>2997</v>
      </c>
      <c r="AF332" s="174" t="s">
        <v>2259</v>
      </c>
      <c r="AG332" s="174" t="s">
        <v>2998</v>
      </c>
      <c r="AH332" s="174" t="s">
        <v>2162</v>
      </c>
      <c r="AI332" s="174" t="s">
        <v>2160</v>
      </c>
      <c r="AJ332" s="174" t="s">
        <v>2067</v>
      </c>
      <c r="AK332" s="174" t="s">
        <v>2999</v>
      </c>
      <c r="AL332" s="174" t="s">
        <v>2916</v>
      </c>
      <c r="AM332" s="174" t="s">
        <v>3000</v>
      </c>
      <c r="AN332" s="174" t="s">
        <v>3001</v>
      </c>
      <c r="AO332" s="174" t="s">
        <v>3002</v>
      </c>
      <c r="AP332" s="174" t="s">
        <v>3003</v>
      </c>
      <c r="AQ332" s="174" t="s">
        <v>2445</v>
      </c>
      <c r="AR332" s="174" t="s">
        <v>3004</v>
      </c>
      <c r="AS332" s="174" t="s">
        <v>3005</v>
      </c>
      <c r="AT332" s="174" t="s">
        <v>3006</v>
      </c>
      <c r="AU332" s="174" t="s">
        <v>248</v>
      </c>
      <c r="AV332" s="174" t="s">
        <v>248</v>
      </c>
      <c r="AW332" s="174" t="s">
        <v>248</v>
      </c>
    </row>
    <row r="333" spans="5:49" ht="13.35" customHeight="1" x14ac:dyDescent="0.2">
      <c r="E333" s="221" t="s">
        <v>3007</v>
      </c>
      <c r="F333" s="174">
        <v>83</v>
      </c>
      <c r="G333" s="174" t="s">
        <v>206</v>
      </c>
      <c r="H333" s="174" t="s">
        <v>3008</v>
      </c>
      <c r="I333" s="174" t="s">
        <v>3009</v>
      </c>
      <c r="J333" s="174" t="s">
        <v>3010</v>
      </c>
      <c r="K333" s="174" t="s">
        <v>3011</v>
      </c>
      <c r="L333" s="174" t="s">
        <v>3012</v>
      </c>
      <c r="M333" s="174" t="s">
        <v>3013</v>
      </c>
      <c r="N333" s="174" t="s">
        <v>3014</v>
      </c>
      <c r="O333" s="174" t="s">
        <v>3015</v>
      </c>
      <c r="P333" s="174" t="s">
        <v>3016</v>
      </c>
      <c r="Y333" s="174" t="s">
        <v>2411</v>
      </c>
      <c r="Z333" s="174" t="s">
        <v>3017</v>
      </c>
      <c r="AA333" s="174" t="s">
        <v>2358</v>
      </c>
      <c r="AB333" s="174" t="s">
        <v>3018</v>
      </c>
      <c r="AC333" s="174" t="s">
        <v>2469</v>
      </c>
      <c r="AD333" s="174" t="s">
        <v>3019</v>
      </c>
      <c r="AE333" s="174" t="s">
        <v>2499</v>
      </c>
      <c r="AF333" s="174" t="s">
        <v>3020</v>
      </c>
      <c r="AG333" s="174" t="s">
        <v>3021</v>
      </c>
      <c r="AH333" s="174" t="s">
        <v>3022</v>
      </c>
      <c r="AU333" s="174" t="s">
        <v>248</v>
      </c>
      <c r="AV333" s="174" t="s">
        <v>248</v>
      </c>
      <c r="AW333" s="174" t="s">
        <v>231</v>
      </c>
    </row>
    <row r="334" spans="5:49" ht="13.35" customHeight="1" x14ac:dyDescent="0.2">
      <c r="E334" s="221" t="s">
        <v>3023</v>
      </c>
      <c r="F334" s="174">
        <v>147</v>
      </c>
      <c r="G334" s="174" t="s">
        <v>2261</v>
      </c>
      <c r="H334" s="174" t="s">
        <v>3024</v>
      </c>
      <c r="I334" s="174" t="s">
        <v>3025</v>
      </c>
      <c r="J334" s="174" t="s">
        <v>3026</v>
      </c>
      <c r="K334" s="174" t="s">
        <v>3027</v>
      </c>
      <c r="L334" s="174" t="s">
        <v>3028</v>
      </c>
      <c r="M334" s="174" t="s">
        <v>3029</v>
      </c>
      <c r="N334" s="174" t="s">
        <v>3030</v>
      </c>
      <c r="O334" s="174" t="s">
        <v>3031</v>
      </c>
      <c r="Y334" s="174" t="s">
        <v>2048</v>
      </c>
      <c r="Z334" s="174" t="s">
        <v>2344</v>
      </c>
      <c r="AA334" s="174" t="s">
        <v>3032</v>
      </c>
      <c r="AB334" s="174" t="s">
        <v>2467</v>
      </c>
      <c r="AC334" s="174" t="s">
        <v>2714</v>
      </c>
      <c r="AD334" s="174" t="s">
        <v>3033</v>
      </c>
      <c r="AE334" s="174" t="s">
        <v>2916</v>
      </c>
      <c r="AF334" s="174" t="s">
        <v>3034</v>
      </c>
      <c r="AG334" s="174" t="s">
        <v>3035</v>
      </c>
      <c r="AH334" s="174" t="s">
        <v>3036</v>
      </c>
      <c r="AI334" s="174" t="s">
        <v>2881</v>
      </c>
      <c r="AJ334" s="174" t="s">
        <v>2804</v>
      </c>
      <c r="AK334" s="174" t="s">
        <v>3037</v>
      </c>
      <c r="AL334" s="174" t="s">
        <v>3038</v>
      </c>
      <c r="AM334" s="174" t="s">
        <v>3039</v>
      </c>
      <c r="AN334" s="174" t="s">
        <v>3040</v>
      </c>
      <c r="AO334" s="174" t="s">
        <v>2445</v>
      </c>
      <c r="AP334" s="174" t="s">
        <v>3041</v>
      </c>
      <c r="AQ334" s="174" t="s">
        <v>2293</v>
      </c>
      <c r="AU334" s="174" t="s">
        <v>248</v>
      </c>
      <c r="AV334" s="174" t="s">
        <v>248</v>
      </c>
      <c r="AW334" s="174" t="s">
        <v>248</v>
      </c>
    </row>
    <row r="335" spans="5:49" ht="13.35" customHeight="1" x14ac:dyDescent="0.2">
      <c r="E335" s="221" t="s">
        <v>3042</v>
      </c>
      <c r="F335" s="174">
        <v>105</v>
      </c>
      <c r="G335" s="174" t="s">
        <v>206</v>
      </c>
      <c r="H335" s="174" t="s">
        <v>3043</v>
      </c>
      <c r="I335" s="174" t="s">
        <v>3044</v>
      </c>
      <c r="J335" s="174" t="s">
        <v>3045</v>
      </c>
      <c r="K335" s="174" t="s">
        <v>3046</v>
      </c>
      <c r="L335" s="174" t="s">
        <v>3047</v>
      </c>
      <c r="M335" s="174" t="s">
        <v>3048</v>
      </c>
      <c r="N335" s="174" t="s">
        <v>2671</v>
      </c>
      <c r="O335" s="174" t="s">
        <v>2822</v>
      </c>
      <c r="P335" s="174" t="s">
        <v>3049</v>
      </c>
      <c r="Y335" s="174" t="s">
        <v>2311</v>
      </c>
      <c r="Z335" s="174" t="s">
        <v>2980</v>
      </c>
      <c r="AA335" s="174" t="s">
        <v>2399</v>
      </c>
      <c r="AB335" s="174" t="s">
        <v>2247</v>
      </c>
      <c r="AC335" s="174" t="s">
        <v>2050</v>
      </c>
      <c r="AD335" s="174" t="s">
        <v>2980</v>
      </c>
      <c r="AE335" s="174" t="s">
        <v>2212</v>
      </c>
      <c r="AF335" s="174" t="s">
        <v>3050</v>
      </c>
      <c r="AG335" s="174" t="s">
        <v>3051</v>
      </c>
      <c r="AH335" s="174" t="s">
        <v>2916</v>
      </c>
      <c r="AI335" s="174" t="s">
        <v>3052</v>
      </c>
      <c r="AU335" s="174" t="s">
        <v>248</v>
      </c>
      <c r="AV335" s="174" t="s">
        <v>248</v>
      </c>
      <c r="AW335" s="174" t="s">
        <v>3053</v>
      </c>
    </row>
    <row r="336" spans="5:49" ht="13.35" customHeight="1" x14ac:dyDescent="0.2">
      <c r="E336" s="221" t="s">
        <v>3054</v>
      </c>
      <c r="F336" s="174">
        <v>171</v>
      </c>
      <c r="G336" s="174" t="s">
        <v>206</v>
      </c>
      <c r="H336" s="174" t="s">
        <v>3055</v>
      </c>
      <c r="I336" s="174" t="s">
        <v>3056</v>
      </c>
      <c r="J336" s="174" t="s">
        <v>3056</v>
      </c>
      <c r="K336" s="174" t="s">
        <v>3057</v>
      </c>
      <c r="L336" s="174" t="s">
        <v>3058</v>
      </c>
      <c r="M336" s="174" t="s">
        <v>3059</v>
      </c>
      <c r="N336" s="174" t="s">
        <v>3060</v>
      </c>
      <c r="O336" s="174" t="s">
        <v>3061</v>
      </c>
      <c r="P336" s="174" t="s">
        <v>3062</v>
      </c>
      <c r="Y336" s="174" t="s">
        <v>2226</v>
      </c>
      <c r="Z336" s="174" t="s">
        <v>3063</v>
      </c>
      <c r="AA336" s="174" t="s">
        <v>2071</v>
      </c>
      <c r="AB336" s="174" t="s">
        <v>2741</v>
      </c>
      <c r="AC336" s="174" t="s">
        <v>2399</v>
      </c>
      <c r="AD336" s="174" t="s">
        <v>2247</v>
      </c>
      <c r="AE336" s="174" t="s">
        <v>3064</v>
      </c>
      <c r="AF336" s="174" t="s">
        <v>2047</v>
      </c>
      <c r="AG336" s="174" t="s">
        <v>2165</v>
      </c>
      <c r="AH336" s="174" t="s">
        <v>2160</v>
      </c>
      <c r="AI336" s="174" t="s">
        <v>2491</v>
      </c>
      <c r="AJ336" s="174" t="s">
        <v>2047</v>
      </c>
      <c r="AK336" s="174" t="s">
        <v>2701</v>
      </c>
      <c r="AL336" s="174" t="s">
        <v>2047</v>
      </c>
      <c r="AM336" s="174" t="s">
        <v>2916</v>
      </c>
      <c r="AN336" s="174" t="s">
        <v>3065</v>
      </c>
      <c r="AO336" s="174" t="s">
        <v>3066</v>
      </c>
      <c r="AU336" s="174" t="s">
        <v>248</v>
      </c>
      <c r="AV336" s="174" t="s">
        <v>248</v>
      </c>
      <c r="AW336" s="174" t="s">
        <v>223</v>
      </c>
    </row>
    <row r="337" spans="5:49" ht="13.35" customHeight="1" x14ac:dyDescent="0.2">
      <c r="E337" s="221" t="s">
        <v>3067</v>
      </c>
      <c r="F337" s="174">
        <v>97</v>
      </c>
      <c r="G337" s="174" t="s">
        <v>2261</v>
      </c>
      <c r="H337" s="174" t="s">
        <v>3068</v>
      </c>
      <c r="I337" s="174" t="s">
        <v>3069</v>
      </c>
      <c r="J337" s="174" t="s">
        <v>3070</v>
      </c>
      <c r="K337" s="174" t="s">
        <v>3071</v>
      </c>
      <c r="L337" s="174" t="s">
        <v>3072</v>
      </c>
      <c r="M337" s="174" t="s">
        <v>3073</v>
      </c>
      <c r="N337" s="174" t="s">
        <v>3073</v>
      </c>
      <c r="O337" s="174" t="s">
        <v>3074</v>
      </c>
      <c r="P337" s="174" t="s">
        <v>3075</v>
      </c>
      <c r="Y337" s="174" t="s">
        <v>2029</v>
      </c>
      <c r="Z337" s="174" t="s">
        <v>2787</v>
      </c>
      <c r="AA337" s="174" t="s">
        <v>2532</v>
      </c>
      <c r="AB337" s="174" t="s">
        <v>3076</v>
      </c>
      <c r="AC337" s="174" t="s">
        <v>3077</v>
      </c>
      <c r="AD337" s="174" t="s">
        <v>2231</v>
      </c>
      <c r="AE337" s="174" t="s">
        <v>2690</v>
      </c>
      <c r="AF337" s="174" t="s">
        <v>2232</v>
      </c>
      <c r="AG337" s="174" t="s">
        <v>2071</v>
      </c>
      <c r="AH337" s="174" t="s">
        <v>3078</v>
      </c>
      <c r="AI337" s="174" t="s">
        <v>2164</v>
      </c>
      <c r="AJ337" s="174" t="s">
        <v>2700</v>
      </c>
      <c r="AK337" s="174" t="s">
        <v>2074</v>
      </c>
      <c r="AL337" s="174" t="s">
        <v>2874</v>
      </c>
      <c r="AM337" s="174" t="s">
        <v>3079</v>
      </c>
      <c r="AU337" s="174" t="s">
        <v>248</v>
      </c>
      <c r="AV337" s="174" t="s">
        <v>248</v>
      </c>
      <c r="AW337" s="174" t="s">
        <v>235</v>
      </c>
    </row>
    <row r="338" spans="5:49" ht="13.35" customHeight="1" x14ac:dyDescent="0.2">
      <c r="E338" s="221" t="s">
        <v>3080</v>
      </c>
      <c r="F338" s="174">
        <v>75</v>
      </c>
      <c r="G338" s="174" t="s">
        <v>206</v>
      </c>
      <c r="H338" s="174" t="s">
        <v>3081</v>
      </c>
      <c r="I338" s="174" t="s">
        <v>3082</v>
      </c>
      <c r="J338" s="174" t="s">
        <v>3083</v>
      </c>
      <c r="K338" s="174" t="s">
        <v>3084</v>
      </c>
      <c r="L338" s="174" t="s">
        <v>3085</v>
      </c>
      <c r="M338" s="174" t="s">
        <v>3086</v>
      </c>
      <c r="N338" s="174" t="s">
        <v>3087</v>
      </c>
      <c r="Y338" s="174" t="s">
        <v>2411</v>
      </c>
      <c r="Z338" s="174" t="s">
        <v>2412</v>
      </c>
      <c r="AA338" s="174" t="s">
        <v>3088</v>
      </c>
      <c r="AB338" s="174" t="s">
        <v>2836</v>
      </c>
      <c r="AC338" s="174" t="s">
        <v>2231</v>
      </c>
      <c r="AD338" s="174" t="s">
        <v>2200</v>
      </c>
      <c r="AE338" s="174" t="s">
        <v>2752</v>
      </c>
      <c r="AF338" s="174" t="s">
        <v>2410</v>
      </c>
      <c r="AG338" s="174" t="s">
        <v>2077</v>
      </c>
      <c r="AH338" s="174" t="s">
        <v>2079</v>
      </c>
      <c r="AI338" s="174" t="s">
        <v>2078</v>
      </c>
      <c r="AJ338" s="174" t="s">
        <v>2033</v>
      </c>
      <c r="AK338" s="174" t="s">
        <v>3089</v>
      </c>
      <c r="AL338" s="174" t="s">
        <v>2743</v>
      </c>
      <c r="AU338" s="174" t="s">
        <v>248</v>
      </c>
      <c r="AV338" s="174" t="s">
        <v>248</v>
      </c>
      <c r="AW338" s="174" t="s">
        <v>248</v>
      </c>
    </row>
    <row r="339" spans="5:49" ht="13.35" customHeight="1" x14ac:dyDescent="0.2">
      <c r="E339" s="221" t="s">
        <v>3090</v>
      </c>
      <c r="F339" s="174">
        <v>27</v>
      </c>
      <c r="G339" s="174" t="s">
        <v>206</v>
      </c>
      <c r="H339" s="174" t="s">
        <v>3091</v>
      </c>
      <c r="I339" s="174" t="s">
        <v>3092</v>
      </c>
      <c r="J339" s="174" t="s">
        <v>3093</v>
      </c>
      <c r="K339" s="174" t="s">
        <v>3094</v>
      </c>
      <c r="L339" s="174" t="s">
        <v>3095</v>
      </c>
      <c r="M339" s="174" t="s">
        <v>3096</v>
      </c>
      <c r="N339" s="174" t="s">
        <v>3097</v>
      </c>
      <c r="Y339" s="174" t="s">
        <v>2165</v>
      </c>
      <c r="Z339" s="174" t="s">
        <v>3098</v>
      </c>
      <c r="AA339" s="174" t="s">
        <v>3099</v>
      </c>
      <c r="AB339" s="174" t="s">
        <v>2179</v>
      </c>
      <c r="AC339" s="174" t="s">
        <v>3100</v>
      </c>
      <c r="AD339" s="174" t="s">
        <v>2701</v>
      </c>
      <c r="AE339" s="174" t="s">
        <v>3101</v>
      </c>
      <c r="AF339" s="174" t="s">
        <v>2135</v>
      </c>
      <c r="AG339" s="174" t="s">
        <v>3102</v>
      </c>
      <c r="AU339" s="174" t="s">
        <v>248</v>
      </c>
      <c r="AV339" s="174" t="s">
        <v>248</v>
      </c>
      <c r="AW339" s="174" t="s">
        <v>248</v>
      </c>
    </row>
    <row r="340" spans="5:49" ht="13.35" customHeight="1" x14ac:dyDescent="0.2">
      <c r="E340" s="221" t="s">
        <v>3103</v>
      </c>
      <c r="F340" s="174">
        <v>19</v>
      </c>
      <c r="G340" s="174" t="s">
        <v>2261</v>
      </c>
      <c r="H340" s="174" t="s">
        <v>3104</v>
      </c>
      <c r="I340" s="174" t="s">
        <v>3105</v>
      </c>
      <c r="J340" s="174" t="s">
        <v>3073</v>
      </c>
      <c r="K340" s="174" t="s">
        <v>3106</v>
      </c>
      <c r="L340" s="174" t="s">
        <v>3106</v>
      </c>
      <c r="M340" s="174" t="s">
        <v>3107</v>
      </c>
      <c r="Y340" s="174" t="s">
        <v>2259</v>
      </c>
      <c r="Z340" s="174" t="s">
        <v>2139</v>
      </c>
      <c r="AA340" s="174" t="s">
        <v>2048</v>
      </c>
      <c r="AB340" s="174" t="s">
        <v>3108</v>
      </c>
      <c r="AC340" s="174" t="s">
        <v>3109</v>
      </c>
      <c r="AD340" s="174" t="s">
        <v>2454</v>
      </c>
      <c r="AE340" s="174" t="s">
        <v>2455</v>
      </c>
      <c r="AF340" s="174" t="s">
        <v>2287</v>
      </c>
      <c r="AG340" s="174" t="s">
        <v>3110</v>
      </c>
      <c r="AH340" s="174" t="s">
        <v>3111</v>
      </c>
      <c r="AU340" s="174" t="s">
        <v>248</v>
      </c>
      <c r="AV340" s="174" t="s">
        <v>248</v>
      </c>
      <c r="AW340" s="174" t="s">
        <v>248</v>
      </c>
    </row>
    <row r="341" spans="5:49" ht="13.35" customHeight="1" x14ac:dyDescent="0.2">
      <c r="E341" s="221" t="s">
        <v>3112</v>
      </c>
      <c r="F341" s="174">
        <v>52</v>
      </c>
      <c r="G341" s="174" t="s">
        <v>206</v>
      </c>
      <c r="H341" s="174" t="s">
        <v>3104</v>
      </c>
      <c r="I341" s="174" t="s">
        <v>3113</v>
      </c>
      <c r="J341" s="174" t="s">
        <v>3114</v>
      </c>
      <c r="K341" s="174" t="s">
        <v>3115</v>
      </c>
      <c r="L341" s="174" t="s">
        <v>3115</v>
      </c>
      <c r="M341" s="174" t="s">
        <v>3116</v>
      </c>
      <c r="Y341" s="174" t="s">
        <v>2029</v>
      </c>
      <c r="Z341" s="174" t="s">
        <v>2030</v>
      </c>
      <c r="AA341" s="174" t="s">
        <v>3117</v>
      </c>
      <c r="AB341" s="174" t="s">
        <v>2837</v>
      </c>
      <c r="AC341" s="174" t="s">
        <v>3118</v>
      </c>
      <c r="AD341" s="174" t="s">
        <v>3119</v>
      </c>
      <c r="AE341" s="174" t="s">
        <v>2162</v>
      </c>
      <c r="AF341" s="174" t="s">
        <v>3120</v>
      </c>
      <c r="AG341" s="174" t="s">
        <v>3121</v>
      </c>
      <c r="AH341" s="174" t="s">
        <v>2074</v>
      </c>
      <c r="AI341" s="174" t="s">
        <v>2187</v>
      </c>
      <c r="AJ341" s="174" t="s">
        <v>2896</v>
      </c>
      <c r="AK341" s="174" t="s">
        <v>2701</v>
      </c>
      <c r="AL341" s="174" t="s">
        <v>3122</v>
      </c>
      <c r="AM341" s="174" t="s">
        <v>2874</v>
      </c>
      <c r="AN341" s="174" t="s">
        <v>3123</v>
      </c>
      <c r="AU341" s="174" t="s">
        <v>248</v>
      </c>
      <c r="AV341" s="174" t="s">
        <v>248</v>
      </c>
      <c r="AW341" s="174" t="s">
        <v>248</v>
      </c>
    </row>
    <row r="342" spans="5:49" ht="13.35" customHeight="1" x14ac:dyDescent="0.2">
      <c r="E342" s="221" t="s">
        <v>3124</v>
      </c>
      <c r="F342" s="174">
        <v>110</v>
      </c>
      <c r="G342" s="174" t="s">
        <v>206</v>
      </c>
      <c r="H342" s="174" t="s">
        <v>3125</v>
      </c>
      <c r="I342" s="174" t="s">
        <v>3126</v>
      </c>
      <c r="J342" s="174" t="s">
        <v>3127</v>
      </c>
      <c r="K342" s="174" t="s">
        <v>3128</v>
      </c>
      <c r="L342" s="174" t="s">
        <v>3129</v>
      </c>
      <c r="M342" s="174" t="s">
        <v>3130</v>
      </c>
      <c r="Y342" s="174" t="s">
        <v>2740</v>
      </c>
      <c r="Z342" s="174" t="s">
        <v>3131</v>
      </c>
      <c r="AA342" s="174" t="s">
        <v>2499</v>
      </c>
      <c r="AB342" s="174" t="s">
        <v>3132</v>
      </c>
      <c r="AC342" s="174" t="s">
        <v>2777</v>
      </c>
      <c r="AD342" s="174" t="s">
        <v>2491</v>
      </c>
      <c r="AE342" s="174" t="s">
        <v>2691</v>
      </c>
      <c r="AF342" s="174" t="s">
        <v>3133</v>
      </c>
      <c r="AG342" s="174" t="s">
        <v>3134</v>
      </c>
      <c r="AH342" s="174" t="s">
        <v>3135</v>
      </c>
      <c r="AI342" s="174" t="s">
        <v>2457</v>
      </c>
      <c r="AJ342" s="174" t="s">
        <v>2139</v>
      </c>
      <c r="AU342" s="174" t="s">
        <v>248</v>
      </c>
      <c r="AV342" s="174" t="s">
        <v>248</v>
      </c>
      <c r="AW342" s="174" t="s">
        <v>248</v>
      </c>
    </row>
    <row r="343" spans="5:49" ht="13.35" customHeight="1" x14ac:dyDescent="0.2">
      <c r="E343" s="221" t="s">
        <v>3136</v>
      </c>
      <c r="F343" s="174">
        <v>78</v>
      </c>
      <c r="G343" s="174" t="s">
        <v>206</v>
      </c>
      <c r="H343" s="174" t="s">
        <v>3137</v>
      </c>
      <c r="I343" s="174" t="s">
        <v>3138</v>
      </c>
      <c r="J343" s="174" t="s">
        <v>3139</v>
      </c>
      <c r="K343" s="174" t="s">
        <v>3140</v>
      </c>
      <c r="L343" s="174" t="s">
        <v>3141</v>
      </c>
      <c r="M343" s="174" t="s">
        <v>3142</v>
      </c>
      <c r="N343" s="174" t="s">
        <v>3143</v>
      </c>
      <c r="Y343" s="174" t="s">
        <v>2939</v>
      </c>
      <c r="Z343" s="174" t="s">
        <v>3144</v>
      </c>
      <c r="AA343" s="174" t="s">
        <v>2940</v>
      </c>
      <c r="AB343" s="174" t="s">
        <v>2067</v>
      </c>
      <c r="AC343" s="174" t="s">
        <v>3145</v>
      </c>
      <c r="AD343" s="174" t="s">
        <v>2969</v>
      </c>
      <c r="AE343" s="174" t="s">
        <v>2188</v>
      </c>
      <c r="AF343" s="174" t="s">
        <v>3146</v>
      </c>
      <c r="AG343" s="174" t="s">
        <v>2701</v>
      </c>
      <c r="AH343" s="174" t="s">
        <v>3147</v>
      </c>
      <c r="AI343" s="174" t="s">
        <v>3148</v>
      </c>
      <c r="AU343" s="174" t="s">
        <v>248</v>
      </c>
      <c r="AV343" s="174" t="s">
        <v>248</v>
      </c>
      <c r="AW343" s="174" t="s">
        <v>248</v>
      </c>
    </row>
    <row r="344" spans="5:49" ht="13.35" customHeight="1" x14ac:dyDescent="0.2">
      <c r="E344" s="221" t="s">
        <v>3149</v>
      </c>
      <c r="F344" s="174">
        <v>43</v>
      </c>
      <c r="G344" s="174" t="s">
        <v>2261</v>
      </c>
      <c r="H344" s="174" t="s">
        <v>3071</v>
      </c>
      <c r="I344" s="174" t="s">
        <v>3150</v>
      </c>
      <c r="J344" s="174" t="s">
        <v>3151</v>
      </c>
      <c r="K344" s="174" t="s">
        <v>2576</v>
      </c>
      <c r="L344" s="174" t="s">
        <v>3152</v>
      </c>
      <c r="M344" s="174" t="s">
        <v>2811</v>
      </c>
      <c r="Y344" s="174" t="s">
        <v>2927</v>
      </c>
      <c r="Z344" s="174" t="s">
        <v>3153</v>
      </c>
      <c r="AA344" s="174" t="s">
        <v>2199</v>
      </c>
      <c r="AB344" s="174" t="s">
        <v>2644</v>
      </c>
      <c r="AC344" s="174" t="s">
        <v>2753</v>
      </c>
      <c r="AD344" s="174" t="s">
        <v>2358</v>
      </c>
      <c r="AE344" s="174" t="s">
        <v>2754</v>
      </c>
      <c r="AF344" s="174" t="s">
        <v>3121</v>
      </c>
      <c r="AG344" s="174" t="s">
        <v>2566</v>
      </c>
      <c r="AH344" s="174" t="s">
        <v>3135</v>
      </c>
      <c r="AI344" s="174" t="s">
        <v>3079</v>
      </c>
      <c r="AU344" s="174" t="s">
        <v>248</v>
      </c>
      <c r="AV344" s="174" t="s">
        <v>248</v>
      </c>
      <c r="AW344" s="174" t="s">
        <v>248</v>
      </c>
    </row>
    <row r="345" spans="5:49" ht="13.35" customHeight="1" x14ac:dyDescent="0.2">
      <c r="E345" s="221" t="s">
        <v>3154</v>
      </c>
      <c r="F345" s="174">
        <v>128</v>
      </c>
      <c r="G345" s="174" t="s">
        <v>206</v>
      </c>
      <c r="H345" s="174" t="s">
        <v>3155</v>
      </c>
      <c r="I345" s="174" t="s">
        <v>3156</v>
      </c>
      <c r="J345" s="174" t="s">
        <v>2811</v>
      </c>
      <c r="Y345" s="174" t="s">
        <v>2452</v>
      </c>
      <c r="Z345" s="174" t="s">
        <v>2980</v>
      </c>
      <c r="AB345" s="174" t="s">
        <v>2115</v>
      </c>
      <c r="AC345" s="174" t="s">
        <v>2480</v>
      </c>
      <c r="AD345" s="174" t="s">
        <v>2231</v>
      </c>
      <c r="AE345" s="174" t="s">
        <v>3157</v>
      </c>
      <c r="AF345" s="174" t="s">
        <v>2071</v>
      </c>
      <c r="AG345" s="174" t="s">
        <v>2313</v>
      </c>
      <c r="AH345" s="174" t="s">
        <v>2454</v>
      </c>
      <c r="AI345" s="174" t="s">
        <v>2455</v>
      </c>
      <c r="AJ345" s="174" t="s">
        <v>2943</v>
      </c>
      <c r="AK345" s="174" t="s">
        <v>2047</v>
      </c>
      <c r="AU345" s="174" t="s">
        <v>248</v>
      </c>
      <c r="AV345" s="174" t="s">
        <v>248</v>
      </c>
      <c r="AW345" s="174" t="s">
        <v>248</v>
      </c>
    </row>
    <row r="346" spans="5:49" ht="13.35" customHeight="1" x14ac:dyDescent="0.2">
      <c r="E346" s="221" t="s">
        <v>3158</v>
      </c>
      <c r="F346" s="174">
        <v>97</v>
      </c>
      <c r="G346" s="174" t="s">
        <v>206</v>
      </c>
      <c r="H346" s="174" t="s">
        <v>3159</v>
      </c>
      <c r="I346" s="174" t="s">
        <v>3072</v>
      </c>
      <c r="J346" s="174" t="s">
        <v>3160</v>
      </c>
      <c r="K346" s="174" t="s">
        <v>2576</v>
      </c>
      <c r="L346" s="174" t="s">
        <v>3161</v>
      </c>
      <c r="M346" s="174" t="s">
        <v>3162</v>
      </c>
      <c r="Y346" s="174" t="s">
        <v>3163</v>
      </c>
      <c r="Z346" s="174" t="s">
        <v>3164</v>
      </c>
      <c r="AA346" s="174" t="s">
        <v>2231</v>
      </c>
      <c r="AB346" s="174" t="s">
        <v>2232</v>
      </c>
      <c r="AC346" s="174" t="s">
        <v>3165</v>
      </c>
      <c r="AD346" s="174" t="s">
        <v>3166</v>
      </c>
      <c r="AE346" s="174" t="s">
        <v>2581</v>
      </c>
      <c r="AF346" s="174" t="s">
        <v>3167</v>
      </c>
      <c r="AU346" s="174" t="s">
        <v>248</v>
      </c>
      <c r="AV346" s="174" t="s">
        <v>248</v>
      </c>
      <c r="AW346" s="174" t="s">
        <v>248</v>
      </c>
    </row>
    <row r="347" spans="5:49" ht="13.35" customHeight="1" x14ac:dyDescent="0.2">
      <c r="E347" s="221" t="s">
        <v>3168</v>
      </c>
      <c r="F347" s="174">
        <v>32</v>
      </c>
      <c r="G347" s="174" t="s">
        <v>206</v>
      </c>
      <c r="H347" s="174" t="s">
        <v>2014</v>
      </c>
      <c r="I347" s="174" t="s">
        <v>2376</v>
      </c>
      <c r="J347" s="174" t="s">
        <v>3169</v>
      </c>
      <c r="K347" s="174" t="s">
        <v>2878</v>
      </c>
      <c r="L347" s="174" t="s">
        <v>3087</v>
      </c>
      <c r="Y347" s="174" t="s">
        <v>2019</v>
      </c>
      <c r="Z347" s="174" t="s">
        <v>2872</v>
      </c>
      <c r="AA347" s="174" t="s">
        <v>2384</v>
      </c>
      <c r="AB347" s="174" t="s">
        <v>3170</v>
      </c>
      <c r="AC347" s="174" t="s">
        <v>3171</v>
      </c>
      <c r="AD347" s="174" t="s">
        <v>2117</v>
      </c>
      <c r="AE347" s="174" t="s">
        <v>2164</v>
      </c>
      <c r="AF347" s="174" t="s">
        <v>2140</v>
      </c>
      <c r="AG347" s="174" t="s">
        <v>3172</v>
      </c>
      <c r="AH347" s="174" t="s">
        <v>3173</v>
      </c>
      <c r="AI347" s="174" t="s">
        <v>2047</v>
      </c>
      <c r="AJ347" s="174" t="s">
        <v>2202</v>
      </c>
      <c r="AK347" s="174" t="s">
        <v>2790</v>
      </c>
      <c r="AU347" s="174" t="s">
        <v>248</v>
      </c>
      <c r="AV347" s="174" t="s">
        <v>248</v>
      </c>
      <c r="AW347" s="174" t="s">
        <v>248</v>
      </c>
    </row>
    <row r="348" spans="5:49" ht="13.35" customHeight="1" x14ac:dyDescent="0.2">
      <c r="E348" s="221" t="s">
        <v>3174</v>
      </c>
      <c r="F348" s="174">
        <v>85</v>
      </c>
      <c r="G348" s="174" t="s">
        <v>2261</v>
      </c>
      <c r="H348" s="174" t="s">
        <v>3175</v>
      </c>
      <c r="I348" s="174" t="s">
        <v>3176</v>
      </c>
      <c r="J348" s="174" t="s">
        <v>3177</v>
      </c>
      <c r="K348" s="174" t="s">
        <v>3178</v>
      </c>
      <c r="L348" s="174" t="s">
        <v>3179</v>
      </c>
      <c r="M348" s="174" t="s">
        <v>3180</v>
      </c>
      <c r="N348" s="174" t="s">
        <v>3181</v>
      </c>
      <c r="Y348" s="174" t="s">
        <v>2048</v>
      </c>
      <c r="Z348" s="174" t="s">
        <v>3108</v>
      </c>
      <c r="AA348" s="174" t="s">
        <v>3109</v>
      </c>
      <c r="AB348" s="174" t="s">
        <v>2287</v>
      </c>
      <c r="AC348" s="174" t="s">
        <v>3110</v>
      </c>
      <c r="AD348" s="174" t="s">
        <v>3182</v>
      </c>
      <c r="AE348" s="174" t="s">
        <v>3183</v>
      </c>
      <c r="AF348" s="174" t="s">
        <v>3133</v>
      </c>
      <c r="AG348" s="174" t="s">
        <v>3184</v>
      </c>
      <c r="AH348" s="174" t="s">
        <v>3185</v>
      </c>
      <c r="AU348" s="174" t="s">
        <v>248</v>
      </c>
      <c r="AV348" s="174" t="s">
        <v>248</v>
      </c>
      <c r="AW348" s="174" t="s">
        <v>248</v>
      </c>
    </row>
    <row r="349" spans="5:49" ht="13.35" customHeight="1" x14ac:dyDescent="0.2">
      <c r="E349" s="221" t="s">
        <v>3186</v>
      </c>
      <c r="F349" s="174">
        <v>28</v>
      </c>
      <c r="G349" s="174" t="s">
        <v>206</v>
      </c>
      <c r="H349" s="174" t="s">
        <v>3187</v>
      </c>
      <c r="I349" s="174" t="s">
        <v>3188</v>
      </c>
      <c r="J349" s="174" t="s">
        <v>3189</v>
      </c>
      <c r="K349" s="174" t="s">
        <v>3190</v>
      </c>
      <c r="Y349" s="174" t="s">
        <v>3191</v>
      </c>
      <c r="Z349" s="174" t="s">
        <v>3192</v>
      </c>
      <c r="AA349" s="174" t="s">
        <v>2115</v>
      </c>
      <c r="AB349" s="174" t="s">
        <v>3193</v>
      </c>
      <c r="AC349" s="174" t="s">
        <v>2231</v>
      </c>
      <c r="AD349" s="174" t="s">
        <v>2788</v>
      </c>
      <c r="AE349" s="174" t="s">
        <v>3194</v>
      </c>
      <c r="AF349" s="174" t="s">
        <v>2139</v>
      </c>
      <c r="AU349" s="174" t="s">
        <v>248</v>
      </c>
      <c r="AV349" s="174" t="s">
        <v>248</v>
      </c>
      <c r="AW349" s="174" t="s">
        <v>248</v>
      </c>
    </row>
    <row r="350" spans="5:49" ht="13.35" customHeight="1" x14ac:dyDescent="0.2">
      <c r="E350" s="221" t="s">
        <v>3195</v>
      </c>
      <c r="F350" s="174">
        <v>45</v>
      </c>
      <c r="G350" s="174" t="s">
        <v>206</v>
      </c>
      <c r="H350" s="174" t="s">
        <v>3196</v>
      </c>
      <c r="I350" s="174" t="s">
        <v>3197</v>
      </c>
      <c r="J350" s="174" t="s">
        <v>3198</v>
      </c>
      <c r="K350" s="174" t="s">
        <v>3199</v>
      </c>
      <c r="L350" s="174" t="s">
        <v>3200</v>
      </c>
      <c r="M350" s="174" t="s">
        <v>3201</v>
      </c>
      <c r="N350" s="174" t="s">
        <v>3202</v>
      </c>
      <c r="Y350" s="174" t="s">
        <v>2023</v>
      </c>
      <c r="Z350" s="174" t="s">
        <v>2980</v>
      </c>
      <c r="AA350" s="174" t="s">
        <v>2029</v>
      </c>
      <c r="AB350" s="174" t="s">
        <v>3203</v>
      </c>
      <c r="AC350" s="174" t="s">
        <v>3204</v>
      </c>
      <c r="AD350" s="174" t="s">
        <v>2117</v>
      </c>
      <c r="AE350" s="174" t="s">
        <v>3078</v>
      </c>
      <c r="AF350" s="174" t="s">
        <v>2700</v>
      </c>
      <c r="AG350" s="174" t="s">
        <v>2187</v>
      </c>
      <c r="AH350" s="174" t="s">
        <v>2896</v>
      </c>
      <c r="AI350" s="174" t="s">
        <v>2159</v>
      </c>
      <c r="AJ350" s="174" t="s">
        <v>2160</v>
      </c>
      <c r="AK350" s="174" t="s">
        <v>2179</v>
      </c>
      <c r="AL350" s="174" t="s">
        <v>3205</v>
      </c>
      <c r="AU350" s="174" t="s">
        <v>248</v>
      </c>
      <c r="AV350" s="174" t="s">
        <v>248</v>
      </c>
      <c r="AW350" s="174" t="s">
        <v>248</v>
      </c>
    </row>
    <row r="351" spans="5:49" ht="13.35" customHeight="1" x14ac:dyDescent="0.2">
      <c r="E351" s="221" t="s">
        <v>3206</v>
      </c>
      <c r="F351" s="174">
        <v>44</v>
      </c>
      <c r="G351" s="174" t="s">
        <v>206</v>
      </c>
      <c r="H351" s="174" t="s">
        <v>3207</v>
      </c>
      <c r="I351" s="174" t="s">
        <v>3208</v>
      </c>
      <c r="J351" s="174" t="s">
        <v>3175</v>
      </c>
      <c r="K351" s="174" t="s">
        <v>3209</v>
      </c>
      <c r="L351" s="174" t="s">
        <v>3210</v>
      </c>
      <c r="M351" s="174" t="s">
        <v>3211</v>
      </c>
      <c r="Y351" s="174" t="s">
        <v>2226</v>
      </c>
      <c r="Z351" s="174" t="s">
        <v>3193</v>
      </c>
      <c r="AA351" s="174" t="s">
        <v>2162</v>
      </c>
      <c r="AB351" s="174" t="s">
        <v>2072</v>
      </c>
      <c r="AC351" s="174" t="s">
        <v>3212</v>
      </c>
      <c r="AD351" s="174" t="s">
        <v>2913</v>
      </c>
      <c r="AE351" s="174" t="s">
        <v>3213</v>
      </c>
      <c r="AF351" s="174" t="s">
        <v>3214</v>
      </c>
      <c r="AU351" s="174" t="s">
        <v>248</v>
      </c>
      <c r="AV351" s="174" t="s">
        <v>248</v>
      </c>
      <c r="AW351" s="174" t="s">
        <v>248</v>
      </c>
    </row>
    <row r="352" spans="5:49" ht="13.35" customHeight="1" x14ac:dyDescent="0.2">
      <c r="E352" s="221" t="s">
        <v>3215</v>
      </c>
      <c r="F352" s="174">
        <v>45</v>
      </c>
      <c r="G352" s="174" t="s">
        <v>206</v>
      </c>
      <c r="H352" s="174" t="s">
        <v>3216</v>
      </c>
      <c r="I352" s="174" t="s">
        <v>3217</v>
      </c>
      <c r="J352" s="174" t="s">
        <v>3218</v>
      </c>
      <c r="K352" s="174" t="s">
        <v>3219</v>
      </c>
      <c r="L352" s="174" t="s">
        <v>3220</v>
      </c>
      <c r="M352" s="174" t="s">
        <v>3221</v>
      </c>
      <c r="N352" s="174" t="s">
        <v>3222</v>
      </c>
      <c r="Y352" s="174" t="s">
        <v>2428</v>
      </c>
      <c r="Z352" s="174" t="s">
        <v>2980</v>
      </c>
      <c r="AA352" s="174" t="s">
        <v>2115</v>
      </c>
      <c r="AB352" s="174" t="s">
        <v>2247</v>
      </c>
      <c r="AC352" s="174" t="s">
        <v>2165</v>
      </c>
      <c r="AD352" s="174" t="s">
        <v>2980</v>
      </c>
      <c r="AE352" s="174" t="s">
        <v>2188</v>
      </c>
      <c r="AF352" s="174" t="s">
        <v>2160</v>
      </c>
      <c r="AG352" s="174" t="s">
        <v>2583</v>
      </c>
      <c r="AH352" s="174" t="s">
        <v>2160</v>
      </c>
      <c r="AI352" s="174" t="s">
        <v>2292</v>
      </c>
      <c r="AJ352" s="174" t="s">
        <v>3223</v>
      </c>
      <c r="AU352" s="174" t="s">
        <v>248</v>
      </c>
      <c r="AV352" s="174" t="s">
        <v>248</v>
      </c>
      <c r="AW352" s="174" t="s">
        <v>248</v>
      </c>
    </row>
    <row r="353" spans="5:49" ht="13.35" customHeight="1" x14ac:dyDescent="0.2">
      <c r="E353" s="221" t="s">
        <v>3224</v>
      </c>
      <c r="F353" s="174">
        <v>52</v>
      </c>
      <c r="G353" s="174" t="s">
        <v>206</v>
      </c>
      <c r="H353" s="174" t="s">
        <v>3225</v>
      </c>
      <c r="I353" s="174" t="s">
        <v>3072</v>
      </c>
      <c r="J353" s="174" t="s">
        <v>3226</v>
      </c>
      <c r="K353" s="174" t="s">
        <v>3227</v>
      </c>
      <c r="L353" s="174" t="s">
        <v>3228</v>
      </c>
      <c r="M353" s="174" t="s">
        <v>3229</v>
      </c>
      <c r="Y353" s="174" t="s">
        <v>2479</v>
      </c>
      <c r="Z353" s="174" t="s">
        <v>3230</v>
      </c>
      <c r="AA353" s="174" t="s">
        <v>2676</v>
      </c>
      <c r="AB353" s="174" t="s">
        <v>2023</v>
      </c>
      <c r="AC353" s="174" t="s">
        <v>3231</v>
      </c>
      <c r="AD353" s="174" t="s">
        <v>3232</v>
      </c>
      <c r="AE353" s="174" t="s">
        <v>3233</v>
      </c>
      <c r="AF353" s="174" t="s">
        <v>2199</v>
      </c>
      <c r="AG353" s="174" t="s">
        <v>2690</v>
      </c>
      <c r="AH353" s="174" t="s">
        <v>3234</v>
      </c>
      <c r="AI353" s="174" t="s">
        <v>2789</v>
      </c>
      <c r="AU353" s="174" t="s">
        <v>248</v>
      </c>
      <c r="AV353" s="174" t="s">
        <v>248</v>
      </c>
      <c r="AW353" s="174" t="s">
        <v>248</v>
      </c>
    </row>
    <row r="354" spans="5:49" ht="13.35" customHeight="1" x14ac:dyDescent="0.2">
      <c r="E354" s="221" t="s">
        <v>396</v>
      </c>
      <c r="F354" s="174">
        <v>14</v>
      </c>
      <c r="G354" s="174" t="s">
        <v>206</v>
      </c>
      <c r="H354" s="174" t="s">
        <v>3235</v>
      </c>
      <c r="I354" s="174" t="s">
        <v>3236</v>
      </c>
      <c r="J354" s="174" t="s">
        <v>3237</v>
      </c>
      <c r="K354" s="174" t="s">
        <v>3238</v>
      </c>
      <c r="L354" s="174" t="s">
        <v>3239</v>
      </c>
      <c r="M354" s="174" t="s">
        <v>3240</v>
      </c>
      <c r="Y354" s="174" t="s">
        <v>3241</v>
      </c>
      <c r="Z354" s="174" t="s">
        <v>2019</v>
      </c>
      <c r="AA354" s="174" t="s">
        <v>2872</v>
      </c>
      <c r="AB354" s="174" t="s">
        <v>2115</v>
      </c>
      <c r="AC354" s="174" t="s">
        <v>2139</v>
      </c>
      <c r="AD354" s="174" t="s">
        <v>2179</v>
      </c>
      <c r="AU354" s="174" t="s">
        <v>248</v>
      </c>
      <c r="AV354" s="174" t="s">
        <v>248</v>
      </c>
      <c r="AW354" s="174" t="s">
        <v>248</v>
      </c>
    </row>
    <row r="355" spans="5:49" ht="13.35" customHeight="1" x14ac:dyDescent="0.2">
      <c r="E355" s="221" t="s">
        <v>3242</v>
      </c>
      <c r="F355" s="174">
        <v>72</v>
      </c>
      <c r="G355" s="174" t="s">
        <v>2261</v>
      </c>
      <c r="H355" s="174" t="s">
        <v>2576</v>
      </c>
      <c r="I355" s="174" t="s">
        <v>3243</v>
      </c>
      <c r="J355" s="174" t="s">
        <v>2216</v>
      </c>
      <c r="K355" s="174" t="s">
        <v>2217</v>
      </c>
      <c r="L355" s="174" t="s">
        <v>2218</v>
      </c>
      <c r="M355" s="174" t="s">
        <v>2219</v>
      </c>
      <c r="N355" s="174" t="s">
        <v>3220</v>
      </c>
      <c r="O355" s="174" t="s">
        <v>3244</v>
      </c>
      <c r="P355" s="174" t="s">
        <v>3245</v>
      </c>
      <c r="Y355" s="174" t="s">
        <v>2226</v>
      </c>
      <c r="Z355" s="174" t="s">
        <v>2676</v>
      </c>
      <c r="AA355" s="174" t="s">
        <v>2031</v>
      </c>
      <c r="AB355" s="174" t="s">
        <v>2032</v>
      </c>
      <c r="AC355" s="174" t="s">
        <v>3246</v>
      </c>
      <c r="AD355" s="174" t="s">
        <v>3247</v>
      </c>
      <c r="AE355" s="174" t="s">
        <v>2583</v>
      </c>
      <c r="AF355" s="174" t="s">
        <v>2160</v>
      </c>
      <c r="AG355" s="174" t="s">
        <v>2292</v>
      </c>
      <c r="AH355" s="174" t="s">
        <v>2160</v>
      </c>
      <c r="AU355" s="174" t="s">
        <v>248</v>
      </c>
      <c r="AV355" s="174" t="s">
        <v>248</v>
      </c>
      <c r="AW355" s="174" t="s">
        <v>248</v>
      </c>
    </row>
    <row r="356" spans="5:49" ht="13.35" customHeight="1" x14ac:dyDescent="0.2">
      <c r="E356" s="221" t="s">
        <v>3248</v>
      </c>
      <c r="F356" s="174">
        <v>22</v>
      </c>
      <c r="G356" s="174" t="s">
        <v>206</v>
      </c>
      <c r="H356" s="174" t="s">
        <v>2402</v>
      </c>
      <c r="I356" s="174" t="s">
        <v>3249</v>
      </c>
      <c r="J356" s="174" t="s">
        <v>3070</v>
      </c>
      <c r="K356" s="174" t="s">
        <v>2132</v>
      </c>
      <c r="L356" s="174" t="s">
        <v>3250</v>
      </c>
      <c r="M356" s="174" t="s">
        <v>3251</v>
      </c>
      <c r="N356" s="174" t="s">
        <v>3252</v>
      </c>
      <c r="O356" s="174" t="s">
        <v>3253</v>
      </c>
      <c r="Y356" s="174" t="s">
        <v>2411</v>
      </c>
      <c r="Z356" s="174" t="s">
        <v>3230</v>
      </c>
      <c r="AA356" s="174" t="s">
        <v>2837</v>
      </c>
      <c r="AB356" s="174" t="s">
        <v>3254</v>
      </c>
      <c r="AC356" s="174" t="s">
        <v>2231</v>
      </c>
      <c r="AD356" s="174" t="s">
        <v>3255</v>
      </c>
      <c r="AE356" s="174" t="s">
        <v>2752</v>
      </c>
      <c r="AF356" s="174" t="s">
        <v>2162</v>
      </c>
      <c r="AG356" s="174" t="s">
        <v>2386</v>
      </c>
      <c r="AH356" s="174" t="s">
        <v>3256</v>
      </c>
      <c r="AI356" s="174" t="s">
        <v>3257</v>
      </c>
      <c r="AJ356" s="174" t="s">
        <v>2930</v>
      </c>
      <c r="AK356" s="174" t="s">
        <v>2743</v>
      </c>
      <c r="AL356" s="174" t="s">
        <v>2354</v>
      </c>
      <c r="AM356" s="174" t="s">
        <v>2139</v>
      </c>
      <c r="AU356" s="174" t="s">
        <v>248</v>
      </c>
      <c r="AV356" s="174" t="s">
        <v>248</v>
      </c>
      <c r="AW356" s="174" t="s">
        <v>248</v>
      </c>
    </row>
    <row r="357" spans="5:49" ht="13.35" customHeight="1" x14ac:dyDescent="0.2">
      <c r="E357" s="221" t="s">
        <v>3258</v>
      </c>
      <c r="F357" s="174">
        <v>98</v>
      </c>
      <c r="G357" s="174" t="s">
        <v>206</v>
      </c>
      <c r="H357" s="174" t="s">
        <v>3259</v>
      </c>
      <c r="I357" s="174" t="s">
        <v>3260</v>
      </c>
      <c r="J357" s="174" t="s">
        <v>3261</v>
      </c>
      <c r="K357" s="174" t="s">
        <v>3262</v>
      </c>
      <c r="L357" s="174" t="s">
        <v>3263</v>
      </c>
      <c r="M357" s="174" t="s">
        <v>3264</v>
      </c>
      <c r="Y357" s="174" t="s">
        <v>2178</v>
      </c>
      <c r="Z357" s="174" t="s">
        <v>2198</v>
      </c>
      <c r="AA357" s="174" t="s">
        <v>2258</v>
      </c>
      <c r="AB357" s="174" t="s">
        <v>3265</v>
      </c>
      <c r="AC357" s="174" t="s">
        <v>2231</v>
      </c>
      <c r="AD357" s="174" t="s">
        <v>2232</v>
      </c>
      <c r="AE357" s="174" t="s">
        <v>2162</v>
      </c>
      <c r="AF357" s="174" t="s">
        <v>2812</v>
      </c>
      <c r="AG357" s="174" t="s">
        <v>2238</v>
      </c>
      <c r="AH357" s="174" t="s">
        <v>2842</v>
      </c>
      <c r="AI357" s="174" t="s">
        <v>2843</v>
      </c>
      <c r="AJ357" s="174" t="s">
        <v>2499</v>
      </c>
      <c r="AK357" s="174" t="s">
        <v>3020</v>
      </c>
      <c r="AL357" s="174" t="s">
        <v>3266</v>
      </c>
      <c r="AM357" s="174" t="s">
        <v>3267</v>
      </c>
      <c r="AU357" s="174" t="s">
        <v>248</v>
      </c>
      <c r="AV357" s="174" t="s">
        <v>248</v>
      </c>
      <c r="AW357" s="174" t="s">
        <v>248</v>
      </c>
    </row>
    <row r="358" spans="5:49" ht="13.35" customHeight="1" x14ac:dyDescent="0.2">
      <c r="E358" s="221" t="s">
        <v>3268</v>
      </c>
      <c r="F358" s="174">
        <v>74</v>
      </c>
      <c r="G358" s="174" t="s">
        <v>206</v>
      </c>
      <c r="H358" s="174" t="s">
        <v>3269</v>
      </c>
      <c r="I358" s="174" t="s">
        <v>2973</v>
      </c>
      <c r="J358" s="174" t="s">
        <v>3270</v>
      </c>
      <c r="K358" s="174" t="s">
        <v>3271</v>
      </c>
      <c r="L358" s="174" t="s">
        <v>3272</v>
      </c>
      <c r="Y358" s="174" t="s">
        <v>3163</v>
      </c>
      <c r="Z358" s="174" t="s">
        <v>3273</v>
      </c>
      <c r="AA358" s="174" t="s">
        <v>2199</v>
      </c>
      <c r="AB358" s="174" t="s">
        <v>2981</v>
      </c>
      <c r="AC358" s="174" t="s">
        <v>3274</v>
      </c>
      <c r="AD358" s="174" t="s">
        <v>3275</v>
      </c>
      <c r="AU358" s="174" t="s">
        <v>248</v>
      </c>
      <c r="AV358" s="174" t="s">
        <v>248</v>
      </c>
      <c r="AW358" s="174" t="s">
        <v>248</v>
      </c>
    </row>
    <row r="359" spans="5:49" ht="13.35" customHeight="1" x14ac:dyDescent="0.2">
      <c r="E359" s="221" t="s">
        <v>3276</v>
      </c>
      <c r="F359" s="174">
        <v>41</v>
      </c>
      <c r="G359" s="174" t="s">
        <v>206</v>
      </c>
      <c r="H359" s="174" t="s">
        <v>3277</v>
      </c>
      <c r="I359" s="174" t="s">
        <v>3105</v>
      </c>
      <c r="J359" s="174" t="s">
        <v>3073</v>
      </c>
      <c r="K359" s="174" t="s">
        <v>3278</v>
      </c>
      <c r="L359" s="174" t="s">
        <v>3279</v>
      </c>
      <c r="Y359" s="174" t="s">
        <v>2411</v>
      </c>
      <c r="Z359" s="174" t="s">
        <v>2047</v>
      </c>
      <c r="AA359" s="174" t="s">
        <v>2115</v>
      </c>
      <c r="AB359" s="174" t="s">
        <v>2314</v>
      </c>
      <c r="AC359" s="174" t="s">
        <v>3280</v>
      </c>
      <c r="AD359" s="174" t="s">
        <v>2980</v>
      </c>
      <c r="AE359" s="174" t="s">
        <v>2231</v>
      </c>
      <c r="AF359" s="174" t="s">
        <v>2047</v>
      </c>
      <c r="AG359" s="174" t="s">
        <v>2358</v>
      </c>
      <c r="AH359" s="174" t="s">
        <v>2400</v>
      </c>
      <c r="AU359" s="174" t="s">
        <v>248</v>
      </c>
      <c r="AV359" s="174" t="s">
        <v>248</v>
      </c>
      <c r="AW359" s="174" t="s">
        <v>248</v>
      </c>
    </row>
    <row r="360" spans="5:49" ht="13.35" customHeight="1" x14ac:dyDescent="0.2">
      <c r="E360" s="221" t="s">
        <v>3281</v>
      </c>
      <c r="F360" s="174">
        <v>29</v>
      </c>
      <c r="G360" s="174" t="s">
        <v>206</v>
      </c>
      <c r="H360" s="174" t="s">
        <v>3282</v>
      </c>
      <c r="I360" s="174" t="s">
        <v>3283</v>
      </c>
      <c r="J360" s="174" t="s">
        <v>3284</v>
      </c>
      <c r="K360" s="174" t="s">
        <v>3285</v>
      </c>
      <c r="L360" s="174" t="s">
        <v>3286</v>
      </c>
      <c r="Y360" s="174" t="s">
        <v>2751</v>
      </c>
      <c r="Z360" s="174" t="s">
        <v>3077</v>
      </c>
      <c r="AA360" s="174" t="s">
        <v>2287</v>
      </c>
      <c r="AB360" s="174" t="s">
        <v>3287</v>
      </c>
      <c r="AC360" s="174" t="s">
        <v>2873</v>
      </c>
      <c r="AD360" s="174" t="s">
        <v>3288</v>
      </c>
      <c r="AE360" s="174" t="s">
        <v>2292</v>
      </c>
      <c r="AF360" s="174" t="s">
        <v>3289</v>
      </c>
      <c r="AG360" s="174" t="s">
        <v>3290</v>
      </c>
      <c r="AH360" s="174" t="s">
        <v>2160</v>
      </c>
      <c r="AU360" s="174" t="s">
        <v>248</v>
      </c>
      <c r="AV360" s="174" t="s">
        <v>248</v>
      </c>
      <c r="AW360" s="174" t="s">
        <v>248</v>
      </c>
    </row>
    <row r="361" spans="5:49" ht="13.35" customHeight="1" x14ac:dyDescent="0.2">
      <c r="E361" s="221" t="s">
        <v>3291</v>
      </c>
      <c r="F361" s="174">
        <v>132</v>
      </c>
      <c r="G361" s="174" t="s">
        <v>206</v>
      </c>
      <c r="H361" s="174" t="s">
        <v>3292</v>
      </c>
      <c r="I361" s="174" t="s">
        <v>3293</v>
      </c>
      <c r="J361" s="174" t="s">
        <v>3294</v>
      </c>
      <c r="K361" s="174" t="s">
        <v>3295</v>
      </c>
      <c r="Y361" s="174" t="s">
        <v>2479</v>
      </c>
      <c r="Z361" s="174" t="s">
        <v>3296</v>
      </c>
      <c r="AA361" s="174" t="s">
        <v>2400</v>
      </c>
      <c r="AB361" s="174" t="s">
        <v>2269</v>
      </c>
      <c r="AC361" s="174" t="s">
        <v>2327</v>
      </c>
      <c r="AD361" s="174" t="s">
        <v>2231</v>
      </c>
      <c r="AE361" s="174" t="s">
        <v>2160</v>
      </c>
      <c r="AF361" s="174" t="s">
        <v>2162</v>
      </c>
      <c r="AG361" s="174" t="s">
        <v>3212</v>
      </c>
      <c r="AH361" s="174" t="s">
        <v>2387</v>
      </c>
      <c r="AI361" s="174" t="s">
        <v>2388</v>
      </c>
      <c r="AJ361" s="174" t="s">
        <v>2238</v>
      </c>
      <c r="AK361" s="174" t="s">
        <v>3297</v>
      </c>
      <c r="AU361" s="174" t="s">
        <v>248</v>
      </c>
      <c r="AV361" s="174" t="s">
        <v>248</v>
      </c>
      <c r="AW361" s="174" t="s">
        <v>248</v>
      </c>
    </row>
    <row r="362" spans="5:49" ht="13.35" customHeight="1" x14ac:dyDescent="0.2">
      <c r="E362" s="221" t="s">
        <v>3298</v>
      </c>
      <c r="F362" s="174">
        <v>113</v>
      </c>
      <c r="G362" s="174" t="s">
        <v>2261</v>
      </c>
      <c r="H362" s="174" t="s">
        <v>3159</v>
      </c>
      <c r="I362" s="174" t="s">
        <v>3299</v>
      </c>
      <c r="J362" s="174" t="s">
        <v>3300</v>
      </c>
      <c r="K362" s="174" t="s">
        <v>3175</v>
      </c>
      <c r="L362" s="174" t="s">
        <v>3152</v>
      </c>
      <c r="M362" s="174" t="s">
        <v>3073</v>
      </c>
      <c r="N362" s="174" t="s">
        <v>3073</v>
      </c>
      <c r="O362" s="174" t="s">
        <v>2268</v>
      </c>
      <c r="Y362" s="174" t="s">
        <v>2029</v>
      </c>
      <c r="Z362" s="174" t="s">
        <v>2787</v>
      </c>
      <c r="AA362" s="174" t="s">
        <v>2231</v>
      </c>
      <c r="AB362" s="174" t="s">
        <v>2273</v>
      </c>
      <c r="AC362" s="174" t="s">
        <v>2162</v>
      </c>
      <c r="AD362" s="174" t="s">
        <v>3121</v>
      </c>
      <c r="AE362" s="174" t="s">
        <v>2566</v>
      </c>
      <c r="AF362" s="174" t="s">
        <v>2032</v>
      </c>
      <c r="AG362" s="174" t="s">
        <v>2647</v>
      </c>
      <c r="AH362" s="174" t="s">
        <v>2916</v>
      </c>
      <c r="AI362" s="174" t="s">
        <v>3301</v>
      </c>
      <c r="AJ362" s="174" t="s">
        <v>2874</v>
      </c>
      <c r="AK362" s="174" t="s">
        <v>2828</v>
      </c>
      <c r="AU362" s="174" t="s">
        <v>248</v>
      </c>
      <c r="AV362" s="174" t="s">
        <v>248</v>
      </c>
      <c r="AW362" s="174" t="s">
        <v>248</v>
      </c>
    </row>
    <row r="363" spans="5:49" ht="13.35" customHeight="1" x14ac:dyDescent="0.2">
      <c r="E363" s="221" t="s">
        <v>3302</v>
      </c>
      <c r="F363" s="174">
        <v>36</v>
      </c>
      <c r="G363" s="174" t="s">
        <v>2261</v>
      </c>
      <c r="H363" s="174" t="s">
        <v>3303</v>
      </c>
      <c r="I363" s="174" t="s">
        <v>3304</v>
      </c>
      <c r="J363" s="174" t="s">
        <v>3305</v>
      </c>
      <c r="K363" s="174" t="s">
        <v>3306</v>
      </c>
      <c r="L363" s="174" t="s">
        <v>3307</v>
      </c>
      <c r="M363" s="174" t="s">
        <v>3308</v>
      </c>
      <c r="Y363" s="174" t="s">
        <v>3241</v>
      </c>
      <c r="Z363" s="174" t="s">
        <v>3309</v>
      </c>
      <c r="AA363" s="174" t="s">
        <v>2025</v>
      </c>
      <c r="AB363" s="174" t="s">
        <v>3310</v>
      </c>
      <c r="AC363" s="174" t="s">
        <v>3311</v>
      </c>
      <c r="AD363" s="174" t="s">
        <v>3311</v>
      </c>
      <c r="AE363" s="174" t="s">
        <v>3311</v>
      </c>
      <c r="AF363" s="174" t="s">
        <v>2440</v>
      </c>
      <c r="AG363" s="174" t="s">
        <v>2259</v>
      </c>
      <c r="AH363" s="174" t="s">
        <v>2139</v>
      </c>
      <c r="AU363" s="174" t="s">
        <v>248</v>
      </c>
      <c r="AV363" s="174" t="s">
        <v>248</v>
      </c>
      <c r="AW363" s="174" t="s">
        <v>248</v>
      </c>
    </row>
    <row r="364" spans="5:49" ht="13.35" customHeight="1" x14ac:dyDescent="0.2">
      <c r="E364" s="221" t="s">
        <v>3312</v>
      </c>
      <c r="F364" s="174">
        <v>30</v>
      </c>
      <c r="G364" s="174" t="s">
        <v>206</v>
      </c>
      <c r="H364" s="174" t="s">
        <v>2014</v>
      </c>
      <c r="I364" s="174" t="s">
        <v>2015</v>
      </c>
      <c r="J364" s="174" t="s">
        <v>3313</v>
      </c>
      <c r="K364" s="174" t="s">
        <v>3071</v>
      </c>
      <c r="L364" s="174" t="s">
        <v>3314</v>
      </c>
      <c r="M364" s="174" t="s">
        <v>3315</v>
      </c>
      <c r="Y364" s="174" t="s">
        <v>3316</v>
      </c>
      <c r="Z364" s="174" t="s">
        <v>2139</v>
      </c>
      <c r="AA364" s="174" t="s">
        <v>2384</v>
      </c>
      <c r="AB364" s="174" t="s">
        <v>2385</v>
      </c>
      <c r="AC364" s="174" t="s">
        <v>2231</v>
      </c>
      <c r="AD364" s="174" t="s">
        <v>3317</v>
      </c>
      <c r="AE364" s="174" t="s">
        <v>2998</v>
      </c>
      <c r="AF364" s="174" t="s">
        <v>2139</v>
      </c>
      <c r="AG364" s="174" t="s">
        <v>2387</v>
      </c>
      <c r="AH364" s="174" t="s">
        <v>2388</v>
      </c>
      <c r="AI364" s="174" t="s">
        <v>2140</v>
      </c>
      <c r="AJ364" s="174" t="s">
        <v>3318</v>
      </c>
      <c r="AK364" s="174" t="s">
        <v>3319</v>
      </c>
      <c r="AL364" s="174" t="s">
        <v>2139</v>
      </c>
      <c r="AU364" s="174" t="s">
        <v>248</v>
      </c>
      <c r="AV364" s="174" t="s">
        <v>248</v>
      </c>
      <c r="AW364" s="174" t="s">
        <v>219</v>
      </c>
    </row>
    <row r="365" spans="5:49" ht="13.35" customHeight="1" x14ac:dyDescent="0.2">
      <c r="E365" s="221" t="s">
        <v>3320</v>
      </c>
      <c r="F365" s="174">
        <v>74</v>
      </c>
      <c r="G365" s="174" t="s">
        <v>2261</v>
      </c>
      <c r="H365" s="174" t="s">
        <v>3321</v>
      </c>
      <c r="I365" s="174" t="s">
        <v>2254</v>
      </c>
      <c r="J365" s="174" t="s">
        <v>3322</v>
      </c>
      <c r="K365" s="174" t="s">
        <v>3159</v>
      </c>
      <c r="L365" s="174" t="s">
        <v>3323</v>
      </c>
      <c r="M365" s="174" t="s">
        <v>3324</v>
      </c>
      <c r="Y365" s="174" t="s">
        <v>2162</v>
      </c>
      <c r="Z365" s="174" t="s">
        <v>3078</v>
      </c>
      <c r="AA365" s="174" t="s">
        <v>2074</v>
      </c>
      <c r="AB365" s="174" t="s">
        <v>2231</v>
      </c>
      <c r="AC365" s="174" t="s">
        <v>2998</v>
      </c>
      <c r="AD365" s="174" t="s">
        <v>2690</v>
      </c>
      <c r="AE365" s="174" t="s">
        <v>2115</v>
      </c>
      <c r="AF365" s="174" t="s">
        <v>2211</v>
      </c>
      <c r="AG365" s="174" t="s">
        <v>2292</v>
      </c>
      <c r="AH365" s="174" t="s">
        <v>2828</v>
      </c>
      <c r="AI365" s="174" t="s">
        <v>2179</v>
      </c>
      <c r="AJ365" s="174" t="s">
        <v>3325</v>
      </c>
      <c r="AK365" s="174" t="s">
        <v>2743</v>
      </c>
      <c r="AL365" s="174" t="s">
        <v>3326</v>
      </c>
      <c r="AM365" s="174" t="s">
        <v>3327</v>
      </c>
      <c r="AU365" s="174" t="s">
        <v>248</v>
      </c>
      <c r="AV365" s="174" t="s">
        <v>248</v>
      </c>
      <c r="AW365" s="174" t="s">
        <v>248</v>
      </c>
    </row>
    <row r="366" spans="5:49" ht="13.35" customHeight="1" x14ac:dyDescent="0.2">
      <c r="E366" s="221" t="s">
        <v>3328</v>
      </c>
      <c r="F366" s="174">
        <v>29</v>
      </c>
      <c r="G366" s="174" t="s">
        <v>206</v>
      </c>
      <c r="H366" s="174" t="s">
        <v>3329</v>
      </c>
      <c r="I366" s="174" t="s">
        <v>2265</v>
      </c>
      <c r="J366" s="174" t="s">
        <v>3330</v>
      </c>
      <c r="K366" s="174" t="s">
        <v>3331</v>
      </c>
      <c r="L366" s="174" t="s">
        <v>3332</v>
      </c>
      <c r="M366" s="174" t="s">
        <v>3333</v>
      </c>
      <c r="Y366" s="174" t="s">
        <v>2927</v>
      </c>
      <c r="Z366" s="174" t="s">
        <v>2139</v>
      </c>
      <c r="AA366" s="174" t="s">
        <v>2231</v>
      </c>
      <c r="AB366" s="174" t="s">
        <v>2410</v>
      </c>
      <c r="AC366" s="174" t="s">
        <v>3334</v>
      </c>
      <c r="AD366" s="174" t="s">
        <v>2139</v>
      </c>
      <c r="AE366" s="174" t="s">
        <v>2115</v>
      </c>
      <c r="AF366" s="174" t="s">
        <v>3335</v>
      </c>
      <c r="AG366" s="174" t="s">
        <v>2743</v>
      </c>
      <c r="AH366" s="174" t="s">
        <v>2160</v>
      </c>
      <c r="AU366" s="174" t="s">
        <v>248</v>
      </c>
      <c r="AV366" s="174" t="s">
        <v>248</v>
      </c>
      <c r="AW366" s="174" t="s">
        <v>248</v>
      </c>
    </row>
    <row r="367" spans="5:49" ht="13.35" customHeight="1" x14ac:dyDescent="0.2">
      <c r="E367" s="221" t="s">
        <v>3336</v>
      </c>
      <c r="F367" s="174">
        <v>95</v>
      </c>
      <c r="G367" s="174" t="s">
        <v>206</v>
      </c>
      <c r="H367" s="174" t="s">
        <v>3337</v>
      </c>
      <c r="I367" s="174" t="s">
        <v>3338</v>
      </c>
      <c r="J367" s="174" t="s">
        <v>3339</v>
      </c>
      <c r="K367" s="174" t="s">
        <v>3340</v>
      </c>
      <c r="L367" s="174" t="s">
        <v>2353</v>
      </c>
      <c r="Y367" s="174" t="s">
        <v>2439</v>
      </c>
      <c r="Z367" s="174" t="s">
        <v>3341</v>
      </c>
      <c r="AA367" s="174" t="s">
        <v>2342</v>
      </c>
      <c r="AB367" s="174" t="s">
        <v>2358</v>
      </c>
      <c r="AC367" s="174" t="s">
        <v>3342</v>
      </c>
      <c r="AD367" s="174" t="s">
        <v>2073</v>
      </c>
      <c r="AE367" s="174" t="s">
        <v>2049</v>
      </c>
      <c r="AF367" s="174" t="s">
        <v>2097</v>
      </c>
      <c r="AG367" s="174" t="s">
        <v>3343</v>
      </c>
      <c r="AH367" s="174" t="s">
        <v>2160</v>
      </c>
      <c r="AI367" s="174" t="s">
        <v>2067</v>
      </c>
      <c r="AJ367" s="174" t="s">
        <v>2160</v>
      </c>
      <c r="AU367" s="174" t="s">
        <v>248</v>
      </c>
      <c r="AV367" s="174" t="s">
        <v>248</v>
      </c>
      <c r="AW367" s="174" t="s">
        <v>217</v>
      </c>
    </row>
    <row r="368" spans="5:49" ht="13.35" customHeight="1" x14ac:dyDescent="0.2">
      <c r="E368" s="221" t="s">
        <v>3344</v>
      </c>
      <c r="F368" s="174">
        <v>76</v>
      </c>
      <c r="G368" s="174" t="s">
        <v>2261</v>
      </c>
      <c r="H368" s="174" t="s">
        <v>2431</v>
      </c>
      <c r="I368" s="174" t="s">
        <v>3071</v>
      </c>
      <c r="J368" s="174" t="s">
        <v>3345</v>
      </c>
      <c r="K368" s="174" t="s">
        <v>3346</v>
      </c>
      <c r="Y368" s="174" t="s">
        <v>3347</v>
      </c>
      <c r="Z368" s="174" t="s">
        <v>2139</v>
      </c>
      <c r="AA368" s="174" t="s">
        <v>2148</v>
      </c>
      <c r="AB368" s="174" t="s">
        <v>2139</v>
      </c>
      <c r="AC368" s="174" t="s">
        <v>3348</v>
      </c>
      <c r="AD368" s="174" t="s">
        <v>2139</v>
      </c>
      <c r="AE368" s="174" t="s">
        <v>2620</v>
      </c>
      <c r="AF368" s="174" t="s">
        <v>2139</v>
      </c>
      <c r="AG368" s="174" t="s">
        <v>3349</v>
      </c>
      <c r="AH368" s="174" t="s">
        <v>3350</v>
      </c>
      <c r="AI368" s="174" t="s">
        <v>3351</v>
      </c>
      <c r="AJ368" s="174" t="s">
        <v>3352</v>
      </c>
      <c r="AK368" s="174" t="s">
        <v>2140</v>
      </c>
      <c r="AL368" s="174" t="s">
        <v>2139</v>
      </c>
      <c r="AM368" s="174" t="s">
        <v>2872</v>
      </c>
      <c r="AN368" s="174" t="s">
        <v>2439</v>
      </c>
      <c r="AO368" s="174" t="s">
        <v>2139</v>
      </c>
      <c r="AP368" s="174" t="s">
        <v>3353</v>
      </c>
      <c r="AQ368" s="174" t="s">
        <v>3354</v>
      </c>
      <c r="AR368" s="174" t="s">
        <v>2300</v>
      </c>
      <c r="AS368" s="174" t="s">
        <v>3355</v>
      </c>
      <c r="AU368" s="174" t="s">
        <v>248</v>
      </c>
      <c r="AV368" s="174" t="s">
        <v>248</v>
      </c>
      <c r="AW368" s="174" t="s">
        <v>3356</v>
      </c>
    </row>
    <row r="369" spans="5:49" ht="13.35" customHeight="1" x14ac:dyDescent="0.2">
      <c r="E369" s="221" t="s">
        <v>3357</v>
      </c>
      <c r="F369" s="174">
        <v>22</v>
      </c>
      <c r="G369" s="174" t="s">
        <v>206</v>
      </c>
      <c r="H369" s="174" t="s">
        <v>3358</v>
      </c>
      <c r="I369" s="174" t="s">
        <v>3359</v>
      </c>
      <c r="J369" s="174" t="s">
        <v>3360</v>
      </c>
      <c r="K369" s="174" t="s">
        <v>3361</v>
      </c>
      <c r="L369" s="174" t="s">
        <v>3362</v>
      </c>
      <c r="M369" s="174" t="s">
        <v>3363</v>
      </c>
      <c r="Y369" s="174" t="s">
        <v>2411</v>
      </c>
      <c r="Z369" s="174" t="s">
        <v>3364</v>
      </c>
      <c r="AA369" s="174" t="s">
        <v>2258</v>
      </c>
      <c r="AB369" s="174" t="s">
        <v>3365</v>
      </c>
      <c r="AC369" s="174" t="s">
        <v>2751</v>
      </c>
      <c r="AD369" s="174" t="s">
        <v>3366</v>
      </c>
      <c r="AE369" s="174" t="s">
        <v>2259</v>
      </c>
      <c r="AF369" s="174" t="s">
        <v>3317</v>
      </c>
      <c r="AU369" s="174" t="s">
        <v>248</v>
      </c>
      <c r="AV369" s="174" t="s">
        <v>248</v>
      </c>
      <c r="AW369" s="174" t="s">
        <v>248</v>
      </c>
    </row>
    <row r="370" spans="5:49" ht="13.35" customHeight="1" x14ac:dyDescent="0.2">
      <c r="E370" s="221" t="s">
        <v>3367</v>
      </c>
      <c r="F370" s="174">
        <v>30</v>
      </c>
      <c r="G370" s="174" t="s">
        <v>206</v>
      </c>
      <c r="H370" s="174" t="s">
        <v>2878</v>
      </c>
      <c r="I370" s="174" t="s">
        <v>3293</v>
      </c>
      <c r="J370" s="174" t="s">
        <v>3368</v>
      </c>
      <c r="K370" s="174" t="s">
        <v>3369</v>
      </c>
      <c r="L370" s="174" t="s">
        <v>3370</v>
      </c>
      <c r="M370" s="174" t="s">
        <v>3371</v>
      </c>
      <c r="Y370" s="174" t="s">
        <v>3372</v>
      </c>
      <c r="Z370" s="174" t="s">
        <v>3373</v>
      </c>
      <c r="AA370" s="174" t="s">
        <v>2139</v>
      </c>
      <c r="AB370" s="174" t="s">
        <v>2927</v>
      </c>
      <c r="AC370" s="174" t="s">
        <v>2836</v>
      </c>
      <c r="AD370" s="174" t="s">
        <v>2387</v>
      </c>
      <c r="AE370" s="174" t="s">
        <v>3374</v>
      </c>
      <c r="AF370" s="174" t="s">
        <v>2238</v>
      </c>
      <c r="AG370" s="174" t="s">
        <v>2139</v>
      </c>
      <c r="AH370" s="174" t="s">
        <v>3002</v>
      </c>
      <c r="AI370" s="174" t="s">
        <v>2515</v>
      </c>
      <c r="AJ370" s="174" t="s">
        <v>2139</v>
      </c>
      <c r="AU370" s="174" t="s">
        <v>248</v>
      </c>
      <c r="AV370" s="174" t="s">
        <v>248</v>
      </c>
      <c r="AW370" s="174" t="s">
        <v>248</v>
      </c>
    </row>
    <row r="371" spans="5:49" ht="13.35" customHeight="1" x14ac:dyDescent="0.2">
      <c r="E371" s="221" t="s">
        <v>3375</v>
      </c>
      <c r="F371" s="174">
        <v>18</v>
      </c>
      <c r="G371" s="174" t="s">
        <v>206</v>
      </c>
      <c r="H371" s="174" t="s">
        <v>3376</v>
      </c>
      <c r="I371" s="174" t="s">
        <v>3377</v>
      </c>
      <c r="J371" s="174" t="s">
        <v>3378</v>
      </c>
      <c r="K371" s="174" t="s">
        <v>3379</v>
      </c>
      <c r="L371" s="174" t="s">
        <v>3380</v>
      </c>
      <c r="M371" s="174" t="s">
        <v>3381</v>
      </c>
      <c r="Y371" s="174" t="s">
        <v>2292</v>
      </c>
      <c r="Z371" s="174" t="s">
        <v>2828</v>
      </c>
      <c r="AA371" s="174" t="s">
        <v>2160</v>
      </c>
      <c r="AB371" s="174" t="s">
        <v>2259</v>
      </c>
      <c r="AC371" s="174" t="s">
        <v>3382</v>
      </c>
      <c r="AD371" s="174" t="s">
        <v>2202</v>
      </c>
      <c r="AE371" s="174" t="s">
        <v>2790</v>
      </c>
      <c r="AF371" s="174" t="s">
        <v>2165</v>
      </c>
      <c r="AG371" s="174" t="s">
        <v>3383</v>
      </c>
      <c r="AH371" s="174" t="s">
        <v>2139</v>
      </c>
      <c r="AI371" s="174" t="s">
        <v>2115</v>
      </c>
      <c r="AJ371" s="174" t="s">
        <v>2047</v>
      </c>
      <c r="AU371" s="174" t="s">
        <v>248</v>
      </c>
      <c r="AV371" s="174" t="s">
        <v>248</v>
      </c>
      <c r="AW371" s="174" t="s">
        <v>248</v>
      </c>
    </row>
    <row r="372" spans="5:49" ht="13.35" customHeight="1" x14ac:dyDescent="0.2">
      <c r="E372" s="221" t="s">
        <v>3384</v>
      </c>
      <c r="F372" s="174">
        <v>31</v>
      </c>
      <c r="G372" s="174" t="s">
        <v>206</v>
      </c>
      <c r="H372" s="174" t="s">
        <v>3385</v>
      </c>
      <c r="I372" s="174" t="s">
        <v>3386</v>
      </c>
      <c r="J372" s="174" t="s">
        <v>3387</v>
      </c>
      <c r="K372" s="174" t="s">
        <v>3388</v>
      </c>
      <c r="L372" s="174" t="s">
        <v>3329</v>
      </c>
      <c r="M372" s="174" t="s">
        <v>3389</v>
      </c>
      <c r="Y372" s="174" t="s">
        <v>2162</v>
      </c>
      <c r="Z372" s="174" t="s">
        <v>3390</v>
      </c>
      <c r="AA372" s="174" t="s">
        <v>2258</v>
      </c>
      <c r="AB372" s="174" t="s">
        <v>3391</v>
      </c>
      <c r="AC372" s="174" t="s">
        <v>2115</v>
      </c>
      <c r="AD372" s="174" t="s">
        <v>3392</v>
      </c>
      <c r="AE372" s="174" t="s">
        <v>3393</v>
      </c>
      <c r="AF372" s="174" t="s">
        <v>2387</v>
      </c>
      <c r="AG372" s="174" t="s">
        <v>2139</v>
      </c>
      <c r="AH372" s="174" t="s">
        <v>2202</v>
      </c>
      <c r="AI372" s="174" t="s">
        <v>3327</v>
      </c>
      <c r="AU372" s="174" t="s">
        <v>248</v>
      </c>
      <c r="AV372" s="174" t="s">
        <v>248</v>
      </c>
      <c r="AW372" s="174" t="s">
        <v>248</v>
      </c>
    </row>
    <row r="373" spans="5:49" ht="13.35" customHeight="1" x14ac:dyDescent="0.2">
      <c r="E373" s="221" t="s">
        <v>3394</v>
      </c>
      <c r="F373" s="174">
        <v>28</v>
      </c>
      <c r="G373" s="174" t="s">
        <v>2261</v>
      </c>
      <c r="H373" s="174" t="s">
        <v>3395</v>
      </c>
      <c r="I373" s="174" t="s">
        <v>3396</v>
      </c>
      <c r="J373" s="174" t="s">
        <v>3397</v>
      </c>
      <c r="K373" s="174" t="s">
        <v>3398</v>
      </c>
      <c r="L373" s="174" t="s">
        <v>3399</v>
      </c>
      <c r="M373" s="174" t="s">
        <v>3400</v>
      </c>
      <c r="Y373" s="174" t="s">
        <v>2231</v>
      </c>
      <c r="Z373" s="174" t="s">
        <v>3382</v>
      </c>
      <c r="AA373" s="174" t="s">
        <v>2139</v>
      </c>
      <c r="AB373" s="174" t="s">
        <v>2287</v>
      </c>
      <c r="AC373" s="174" t="s">
        <v>2456</v>
      </c>
      <c r="AD373" s="174" t="s">
        <v>2179</v>
      </c>
      <c r="AE373" s="174" t="s">
        <v>2743</v>
      </c>
      <c r="AF373" s="174" t="s">
        <v>2160</v>
      </c>
      <c r="AG373" s="174" t="s">
        <v>2454</v>
      </c>
      <c r="AH373" s="174" t="s">
        <v>2455</v>
      </c>
      <c r="AI373" s="174" t="s">
        <v>2115</v>
      </c>
      <c r="AJ373" s="174" t="s">
        <v>3401</v>
      </c>
      <c r="AK373" s="174" t="s">
        <v>3392</v>
      </c>
      <c r="AU373" s="174" t="s">
        <v>248</v>
      </c>
      <c r="AV373" s="174" t="s">
        <v>248</v>
      </c>
      <c r="AW373" s="174" t="s">
        <v>248</v>
      </c>
    </row>
    <row r="374" spans="5:49" ht="13.35" customHeight="1" x14ac:dyDescent="0.2">
      <c r="E374" s="221" t="s">
        <v>3402</v>
      </c>
      <c r="F374" s="174">
        <v>32</v>
      </c>
      <c r="G374" s="174" t="s">
        <v>206</v>
      </c>
      <c r="H374" s="174" t="s">
        <v>3403</v>
      </c>
      <c r="I374" s="174" t="s">
        <v>3404</v>
      </c>
      <c r="J374" s="174" t="s">
        <v>3405</v>
      </c>
      <c r="K374" s="174" t="s">
        <v>3403</v>
      </c>
      <c r="L374" s="174" t="s">
        <v>3406</v>
      </c>
      <c r="M374" s="174" t="s">
        <v>3407</v>
      </c>
      <c r="Y374" s="174" t="s">
        <v>3408</v>
      </c>
      <c r="Z374" s="174" t="s">
        <v>2691</v>
      </c>
      <c r="AA374" s="174" t="s">
        <v>2139</v>
      </c>
      <c r="AB374" s="174" t="s">
        <v>2701</v>
      </c>
      <c r="AC374" s="174" t="s">
        <v>2139</v>
      </c>
      <c r="AD374" s="174" t="s">
        <v>3409</v>
      </c>
      <c r="AE374" s="174" t="s">
        <v>2139</v>
      </c>
      <c r="AF374" s="174" t="s">
        <v>2398</v>
      </c>
      <c r="AG374" s="174" t="s">
        <v>2139</v>
      </c>
      <c r="AH374" s="174" t="s">
        <v>2187</v>
      </c>
      <c r="AI374" s="174" t="s">
        <v>2139</v>
      </c>
      <c r="AJ374" s="174" t="s">
        <v>2287</v>
      </c>
      <c r="AK374" s="174" t="s">
        <v>3410</v>
      </c>
      <c r="AU374" s="174" t="s">
        <v>248</v>
      </c>
      <c r="AV374" s="174" t="s">
        <v>248</v>
      </c>
      <c r="AW374" s="174" t="s">
        <v>225</v>
      </c>
    </row>
    <row r="375" spans="5:49" ht="13.35" customHeight="1" x14ac:dyDescent="0.2">
      <c r="E375" s="221" t="s">
        <v>3411</v>
      </c>
      <c r="F375" s="174">
        <v>9</v>
      </c>
      <c r="G375" s="174" t="s">
        <v>206</v>
      </c>
      <c r="H375" s="174" t="s">
        <v>3412</v>
      </c>
      <c r="I375" s="174" t="s">
        <v>3413</v>
      </c>
      <c r="J375" s="174" t="s">
        <v>3414</v>
      </c>
      <c r="K375" s="174" t="s">
        <v>3415</v>
      </c>
      <c r="L375" s="174" t="s">
        <v>3416</v>
      </c>
      <c r="M375" s="174" t="s">
        <v>3417</v>
      </c>
      <c r="N375" s="174" t="s">
        <v>3418</v>
      </c>
      <c r="Y375" s="174" t="s">
        <v>2179</v>
      </c>
      <c r="Z375" s="174" t="s">
        <v>2034</v>
      </c>
      <c r="AA375" s="174" t="s">
        <v>2231</v>
      </c>
      <c r="AB375" s="174" t="s">
        <v>3317</v>
      </c>
      <c r="AC375" s="174" t="s">
        <v>3419</v>
      </c>
      <c r="AD375" s="174" t="s">
        <v>2113</v>
      </c>
      <c r="AE375" s="174" t="s">
        <v>2028</v>
      </c>
      <c r="AF375" s="174" t="s">
        <v>2939</v>
      </c>
      <c r="AG375" s="174" t="s">
        <v>3420</v>
      </c>
      <c r="AH375" s="174" t="s">
        <v>2115</v>
      </c>
      <c r="AI375" s="174" t="s">
        <v>3421</v>
      </c>
      <c r="AU375" s="174" t="s">
        <v>248</v>
      </c>
      <c r="AV375" s="174" t="s">
        <v>248</v>
      </c>
      <c r="AW375" s="174" t="s">
        <v>233</v>
      </c>
    </row>
    <row r="376" spans="5:49" ht="13.35" customHeight="1" x14ac:dyDescent="0.2">
      <c r="E376" s="221" t="s">
        <v>3422</v>
      </c>
      <c r="F376" s="174">
        <v>88</v>
      </c>
      <c r="G376" s="174" t="s">
        <v>2261</v>
      </c>
      <c r="H376" s="174" t="s">
        <v>3423</v>
      </c>
      <c r="I376" s="174" t="s">
        <v>3330</v>
      </c>
      <c r="J376" s="174" t="s">
        <v>2264</v>
      </c>
      <c r="K376" s="174" t="s">
        <v>3424</v>
      </c>
      <c r="L376" s="174" t="s">
        <v>3425</v>
      </c>
      <c r="M376" s="174" t="s">
        <v>3426</v>
      </c>
      <c r="N376" s="174" t="s">
        <v>2230</v>
      </c>
      <c r="Y376" s="174" t="s">
        <v>2939</v>
      </c>
      <c r="Z376" s="174" t="s">
        <v>2198</v>
      </c>
      <c r="AA376" s="174" t="s">
        <v>3427</v>
      </c>
      <c r="AB376" s="174" t="s">
        <v>2231</v>
      </c>
      <c r="AC376" s="174" t="s">
        <v>2273</v>
      </c>
      <c r="AD376" s="174" t="s">
        <v>2826</v>
      </c>
      <c r="AE376" s="174" t="s">
        <v>2162</v>
      </c>
      <c r="AF376" s="174" t="s">
        <v>2386</v>
      </c>
      <c r="AG376" s="174" t="s">
        <v>2160</v>
      </c>
      <c r="AH376" s="174" t="s">
        <v>2387</v>
      </c>
      <c r="AI376" s="174" t="s">
        <v>3428</v>
      </c>
      <c r="AJ376" s="174" t="s">
        <v>2292</v>
      </c>
      <c r="AK376" s="174" t="s">
        <v>2828</v>
      </c>
      <c r="AU376" s="174" t="s">
        <v>248</v>
      </c>
      <c r="AV376" s="174" t="s">
        <v>248</v>
      </c>
      <c r="AW376" s="174" t="s">
        <v>231</v>
      </c>
    </row>
    <row r="377" spans="5:49" ht="13.35" customHeight="1" x14ac:dyDescent="0.2">
      <c r="E377" s="221" t="s">
        <v>3429</v>
      </c>
      <c r="F377" s="174">
        <v>26</v>
      </c>
      <c r="G377" s="174" t="s">
        <v>206</v>
      </c>
      <c r="H377" s="174" t="s">
        <v>3430</v>
      </c>
      <c r="I377" s="174" t="s">
        <v>3431</v>
      </c>
      <c r="J377" s="174" t="s">
        <v>3432</v>
      </c>
      <c r="K377" s="174" t="s">
        <v>3433</v>
      </c>
      <c r="L377" s="174" t="s">
        <v>3434</v>
      </c>
      <c r="M377" s="174" t="s">
        <v>3435</v>
      </c>
      <c r="Y377" s="174" t="s">
        <v>2135</v>
      </c>
      <c r="Z377" s="174" t="s">
        <v>3436</v>
      </c>
      <c r="AA377" s="174" t="s">
        <v>2292</v>
      </c>
      <c r="AB377" s="174" t="s">
        <v>3437</v>
      </c>
      <c r="AC377" s="174" t="s">
        <v>2246</v>
      </c>
      <c r="AD377" s="174" t="s">
        <v>2790</v>
      </c>
      <c r="AE377" s="174" t="s">
        <v>3438</v>
      </c>
      <c r="AF377" s="174" t="s">
        <v>3327</v>
      </c>
      <c r="AG377" s="174" t="s">
        <v>2162</v>
      </c>
      <c r="AH377" s="174" t="s">
        <v>3439</v>
      </c>
      <c r="AI377" s="174" t="s">
        <v>3440</v>
      </c>
      <c r="AU377" s="174" t="s">
        <v>248</v>
      </c>
      <c r="AV377" s="174" t="s">
        <v>248</v>
      </c>
      <c r="AW377" s="174" t="s">
        <v>248</v>
      </c>
    </row>
    <row r="378" spans="5:49" ht="13.35" customHeight="1" x14ac:dyDescent="0.2">
      <c r="E378" s="221" t="s">
        <v>3441</v>
      </c>
      <c r="F378" s="174">
        <v>105</v>
      </c>
      <c r="G378" s="174" t="s">
        <v>2261</v>
      </c>
      <c r="H378" s="174" t="s">
        <v>3442</v>
      </c>
      <c r="I378" s="174" t="s">
        <v>3443</v>
      </c>
      <c r="J378" s="174" t="s">
        <v>3444</v>
      </c>
      <c r="K378" s="174" t="s">
        <v>3445</v>
      </c>
      <c r="L378" s="174" t="s">
        <v>2431</v>
      </c>
      <c r="M378" s="174" t="s">
        <v>3446</v>
      </c>
      <c r="Y378" s="174" t="s">
        <v>2224</v>
      </c>
      <c r="Z378" s="174" t="s">
        <v>3447</v>
      </c>
      <c r="AA378" s="174" t="s">
        <v>2139</v>
      </c>
      <c r="AB378" s="174" t="s">
        <v>2354</v>
      </c>
      <c r="AC378" s="174" t="s">
        <v>2139</v>
      </c>
      <c r="AD378" s="174" t="s">
        <v>2115</v>
      </c>
      <c r="AE378" s="174" t="s">
        <v>2513</v>
      </c>
      <c r="AF378" s="174" t="s">
        <v>2292</v>
      </c>
      <c r="AG378" s="174" t="s">
        <v>3123</v>
      </c>
      <c r="AH378" s="174" t="s">
        <v>2300</v>
      </c>
      <c r="AI378" s="174" t="s">
        <v>2026</v>
      </c>
      <c r="AJ378" s="174" t="s">
        <v>3353</v>
      </c>
      <c r="AK378" s="174" t="s">
        <v>2024</v>
      </c>
      <c r="AL378" s="174" t="s">
        <v>2067</v>
      </c>
      <c r="AM378" s="174" t="s">
        <v>3448</v>
      </c>
      <c r="AN378" s="174" t="s">
        <v>3297</v>
      </c>
      <c r="AO378" s="174" t="s">
        <v>2162</v>
      </c>
      <c r="AP378" s="174" t="s">
        <v>3212</v>
      </c>
      <c r="AU378" s="174" t="s">
        <v>248</v>
      </c>
      <c r="AV378" s="174" t="s">
        <v>248</v>
      </c>
      <c r="AW378" s="174" t="s">
        <v>248</v>
      </c>
    </row>
    <row r="379" spans="5:49" ht="13.35" customHeight="1" x14ac:dyDescent="0.2">
      <c r="E379" s="221" t="s">
        <v>3449</v>
      </c>
      <c r="F379" s="174">
        <v>45</v>
      </c>
      <c r="G379" s="174" t="s">
        <v>206</v>
      </c>
      <c r="H379" s="174" t="s">
        <v>3450</v>
      </c>
      <c r="I379" s="174" t="s">
        <v>3115</v>
      </c>
      <c r="J379" s="174" t="s">
        <v>3451</v>
      </c>
      <c r="K379" s="174" t="s">
        <v>3452</v>
      </c>
      <c r="L379" s="174" t="s">
        <v>3453</v>
      </c>
      <c r="M379" s="174" t="s">
        <v>3454</v>
      </c>
      <c r="Y379" s="174" t="s">
        <v>2492</v>
      </c>
      <c r="Z379" s="174" t="s">
        <v>3455</v>
      </c>
      <c r="AA379" s="174" t="s">
        <v>2454</v>
      </c>
      <c r="AB379" s="174" t="s">
        <v>2455</v>
      </c>
      <c r="AC379" s="174" t="s">
        <v>2568</v>
      </c>
      <c r="AD379" s="174" t="s">
        <v>3456</v>
      </c>
      <c r="AE379" s="174" t="s">
        <v>2115</v>
      </c>
      <c r="AF379" s="174" t="s">
        <v>3457</v>
      </c>
      <c r="AG379" s="174" t="s">
        <v>3458</v>
      </c>
      <c r="AH379" s="174" t="s">
        <v>3459</v>
      </c>
      <c r="AI379" s="174" t="s">
        <v>3460</v>
      </c>
      <c r="AU379" s="174" t="s">
        <v>248</v>
      </c>
      <c r="AV379" s="174" t="s">
        <v>248</v>
      </c>
      <c r="AW379" s="174" t="s">
        <v>223</v>
      </c>
    </row>
    <row r="380" spans="5:49" ht="13.35" customHeight="1" x14ac:dyDescent="0.2">
      <c r="E380" s="221" t="s">
        <v>3461</v>
      </c>
      <c r="F380" s="174">
        <v>30</v>
      </c>
      <c r="G380" s="174" t="s">
        <v>206</v>
      </c>
      <c r="H380" s="174" t="s">
        <v>2279</v>
      </c>
      <c r="I380" s="174" t="s">
        <v>2334</v>
      </c>
      <c r="J380" s="174" t="s">
        <v>3462</v>
      </c>
      <c r="K380" s="174" t="s">
        <v>3463</v>
      </c>
      <c r="L380" s="174" t="s">
        <v>3464</v>
      </c>
      <c r="M380" s="174" t="s">
        <v>3465</v>
      </c>
      <c r="Y380" s="174" t="s">
        <v>2097</v>
      </c>
      <c r="Z380" s="174" t="s">
        <v>3466</v>
      </c>
      <c r="AA380" s="174" t="s">
        <v>2676</v>
      </c>
      <c r="AB380" s="174" t="s">
        <v>2287</v>
      </c>
      <c r="AC380" s="174" t="s">
        <v>2289</v>
      </c>
      <c r="AD380" s="174" t="s">
        <v>2288</v>
      </c>
      <c r="AE380" s="174" t="s">
        <v>2292</v>
      </c>
      <c r="AF380" s="174" t="s">
        <v>711</v>
      </c>
      <c r="AG380" s="174" t="s">
        <v>2439</v>
      </c>
      <c r="AU380" s="174" t="s">
        <v>248</v>
      </c>
      <c r="AV380" s="174" t="s">
        <v>248</v>
      </c>
      <c r="AW380" s="174" t="s">
        <v>248</v>
      </c>
    </row>
    <row r="381" spans="5:49" ht="13.35" customHeight="1" x14ac:dyDescent="0.2">
      <c r="E381" s="221" t="s">
        <v>3467</v>
      </c>
      <c r="F381" s="174">
        <v>4</v>
      </c>
      <c r="G381" s="174" t="s">
        <v>206</v>
      </c>
      <c r="H381" s="174" t="s">
        <v>3468</v>
      </c>
      <c r="Y381" s="174" t="s">
        <v>3469</v>
      </c>
      <c r="Z381" s="174" t="s">
        <v>3470</v>
      </c>
      <c r="AA381" s="174" t="s">
        <v>3471</v>
      </c>
      <c r="AB381" s="174" t="s">
        <v>3472</v>
      </c>
      <c r="AC381" s="174" t="s">
        <v>2611</v>
      </c>
      <c r="AD381" s="174" t="s">
        <v>3473</v>
      </c>
      <c r="AE381" s="174" t="s">
        <v>2136</v>
      </c>
      <c r="AF381" s="174" t="s">
        <v>747</v>
      </c>
      <c r="AG381" s="174" t="s">
        <v>3474</v>
      </c>
      <c r="AH381" s="174" t="s">
        <v>3475</v>
      </c>
      <c r="AU381" s="174" t="s">
        <v>248</v>
      </c>
      <c r="AV381" s="174" t="s">
        <v>248</v>
      </c>
      <c r="AW381" s="174" t="s">
        <v>248</v>
      </c>
    </row>
    <row r="382" spans="5:49" ht="13.35" customHeight="1" x14ac:dyDescent="0.2">
      <c r="E382" s="221" t="s">
        <v>1959</v>
      </c>
      <c r="F382" s="174">
        <v>27</v>
      </c>
      <c r="G382" s="174" t="s">
        <v>206</v>
      </c>
      <c r="H382" s="174" t="s">
        <v>3091</v>
      </c>
      <c r="I382" s="174" t="s">
        <v>3476</v>
      </c>
      <c r="J382" s="174" t="s">
        <v>3093</v>
      </c>
      <c r="K382" s="174" t="s">
        <v>3094</v>
      </c>
      <c r="L382" s="174" t="s">
        <v>3095</v>
      </c>
      <c r="M382" s="174" t="s">
        <v>3096</v>
      </c>
      <c r="N382" s="174" t="s">
        <v>3477</v>
      </c>
      <c r="O382" s="174" t="s">
        <v>3097</v>
      </c>
      <c r="Y382" s="174" t="s">
        <v>2165</v>
      </c>
      <c r="Z382" s="174" t="s">
        <v>2119</v>
      </c>
      <c r="AA382" s="174" t="s">
        <v>2344</v>
      </c>
      <c r="AB382" s="174" t="s">
        <v>2467</v>
      </c>
      <c r="AC382" s="174" t="s">
        <v>3101</v>
      </c>
      <c r="AD382" s="174" t="s">
        <v>2135</v>
      </c>
      <c r="AE382" s="174" t="s">
        <v>3478</v>
      </c>
      <c r="AF382" s="174" t="s">
        <v>2287</v>
      </c>
      <c r="AG382" s="174" t="s">
        <v>2288</v>
      </c>
      <c r="AH382" s="174" t="s">
        <v>3135</v>
      </c>
      <c r="AI382" s="174" t="s">
        <v>3479</v>
      </c>
      <c r="AU382" s="174" t="s">
        <v>248</v>
      </c>
      <c r="AV382" s="174" t="s">
        <v>248</v>
      </c>
      <c r="AW382" s="174" t="s">
        <v>248</v>
      </c>
    </row>
    <row r="383" spans="5:49" ht="13.35" customHeight="1" x14ac:dyDescent="0.2">
      <c r="E383" s="221" t="s">
        <v>398</v>
      </c>
      <c r="F383" s="174">
        <v>73</v>
      </c>
      <c r="G383" s="174" t="s">
        <v>206</v>
      </c>
      <c r="H383" s="174" t="s">
        <v>2014</v>
      </c>
      <c r="I383" s="174" t="s">
        <v>3243</v>
      </c>
      <c r="J383" s="174" t="s">
        <v>3480</v>
      </c>
      <c r="Y383" s="174" t="s">
        <v>3481</v>
      </c>
      <c r="Z383" s="174" t="s">
        <v>2754</v>
      </c>
      <c r="AA383" s="174" t="s">
        <v>3482</v>
      </c>
      <c r="AB383" s="174" t="s">
        <v>2532</v>
      </c>
      <c r="AC383" s="174" t="s">
        <v>3483</v>
      </c>
      <c r="AD383" s="174" t="s">
        <v>2199</v>
      </c>
      <c r="AE383" s="174" t="s">
        <v>2753</v>
      </c>
      <c r="AF383" s="174" t="s">
        <v>2236</v>
      </c>
      <c r="AG383" s="174" t="s">
        <v>2139</v>
      </c>
      <c r="AU383" s="174" t="s">
        <v>248</v>
      </c>
      <c r="AV383" s="174" t="s">
        <v>248</v>
      </c>
      <c r="AW383" s="174" t="s">
        <v>235</v>
      </c>
    </row>
    <row r="384" spans="5:49" ht="13.35" customHeight="1" x14ac:dyDescent="0.2">
      <c r="E384" s="206"/>
    </row>
    <row r="385" spans="5:5" ht="13.35" customHeight="1" x14ac:dyDescent="0.2">
      <c r="E385" s="206"/>
    </row>
    <row r="386" spans="5:5" ht="13.35" customHeight="1" x14ac:dyDescent="0.2">
      <c r="E386" s="206"/>
    </row>
    <row r="387" spans="5:5" ht="13.35" customHeight="1" x14ac:dyDescent="0.2">
      <c r="E387" s="206"/>
    </row>
    <row r="388" spans="5:5" ht="13.35" customHeight="1" x14ac:dyDescent="0.2">
      <c r="E388" s="206"/>
    </row>
    <row r="389" spans="5:5" ht="13.35" customHeight="1" x14ac:dyDescent="0.2">
      <c r="E389" s="206"/>
    </row>
    <row r="390" spans="5:5" ht="13.35" customHeight="1" x14ac:dyDescent="0.2">
      <c r="E390" s="206"/>
    </row>
    <row r="391" spans="5:5" ht="13.35" customHeight="1" x14ac:dyDescent="0.2">
      <c r="E391" s="206"/>
    </row>
    <row r="392" spans="5:5" ht="13.35" customHeight="1" x14ac:dyDescent="0.2">
      <c r="E392" s="206"/>
    </row>
    <row r="393" spans="5:5" ht="13.35" customHeight="1" x14ac:dyDescent="0.2">
      <c r="E393" s="206"/>
    </row>
    <row r="394" spans="5:5" ht="13.35" customHeight="1" x14ac:dyDescent="0.2">
      <c r="E394" s="206"/>
    </row>
    <row r="395" spans="5:5" ht="13.35" customHeight="1" x14ac:dyDescent="0.2">
      <c r="E395" s="206"/>
    </row>
    <row r="396" spans="5:5" ht="13.35" customHeight="1" x14ac:dyDescent="0.2">
      <c r="E396" s="206"/>
    </row>
    <row r="412" spans="5:110" ht="13.35" customHeight="1" x14ac:dyDescent="0.2">
      <c r="E412" s="174" t="s">
        <v>781</v>
      </c>
      <c r="F412" s="174" t="s">
        <v>782</v>
      </c>
      <c r="G412" s="174" t="s">
        <v>783</v>
      </c>
      <c r="H412" s="174" t="s">
        <v>784</v>
      </c>
      <c r="I412" s="174" t="s">
        <v>785</v>
      </c>
      <c r="J412" s="174" t="s">
        <v>786</v>
      </c>
      <c r="K412" s="174" t="s">
        <v>787</v>
      </c>
      <c r="L412" s="174" t="s">
        <v>788</v>
      </c>
      <c r="M412" s="174" t="s">
        <v>789</v>
      </c>
      <c r="N412" s="174" t="s">
        <v>790</v>
      </c>
      <c r="O412" s="174" t="s">
        <v>791</v>
      </c>
      <c r="P412" s="174" t="s">
        <v>792</v>
      </c>
      <c r="Q412" s="174" t="s">
        <v>793</v>
      </c>
      <c r="R412" s="174" t="s">
        <v>794</v>
      </c>
      <c r="S412" s="174" t="s">
        <v>182</v>
      </c>
      <c r="T412" s="174" t="s">
        <v>795</v>
      </c>
      <c r="U412" s="174" t="s">
        <v>796</v>
      </c>
      <c r="V412" s="174" t="s">
        <v>797</v>
      </c>
      <c r="W412" s="174" t="s">
        <v>798</v>
      </c>
      <c r="X412" s="174" t="s">
        <v>799</v>
      </c>
      <c r="Y412" s="174" t="s">
        <v>800</v>
      </c>
      <c r="AA412" s="174" t="s">
        <v>801</v>
      </c>
      <c r="AB412" s="174" t="s">
        <v>802</v>
      </c>
      <c r="AC412" s="174" t="s">
        <v>803</v>
      </c>
      <c r="AD412" s="174" t="s">
        <v>804</v>
      </c>
      <c r="AF412" s="174" t="s">
        <v>805</v>
      </c>
      <c r="AG412" s="174" t="s">
        <v>806</v>
      </c>
      <c r="AH412" s="174" t="s">
        <v>807</v>
      </c>
      <c r="AJ412" s="174" t="s">
        <v>808</v>
      </c>
      <c r="AK412" s="174" t="s">
        <v>809</v>
      </c>
      <c r="AL412" s="174" t="s">
        <v>810</v>
      </c>
      <c r="AM412" s="174" t="s">
        <v>811</v>
      </c>
      <c r="AO412" s="174" t="s">
        <v>812</v>
      </c>
      <c r="AP412" s="174" t="s">
        <v>813</v>
      </c>
      <c r="AQ412" s="174" t="s">
        <v>814</v>
      </c>
      <c r="AS412" s="174" t="s">
        <v>815</v>
      </c>
      <c r="AT412" s="174" t="s">
        <v>816</v>
      </c>
      <c r="AU412" s="174" t="s">
        <v>3484</v>
      </c>
      <c r="AV412" s="174" t="s">
        <v>818</v>
      </c>
      <c r="AW412" s="174" t="s">
        <v>819</v>
      </c>
      <c r="AX412" s="174" t="str">
        <f>AX2</f>
        <v>Priest of Community</v>
      </c>
      <c r="AY412" s="174" t="s">
        <v>821</v>
      </c>
      <c r="AZ412" s="174" t="str">
        <f t="shared" ref="AZ412:CQ412" si="193">AZ2</f>
        <v>Priest of Crafts</v>
      </c>
      <c r="BA412" s="174" t="str">
        <f t="shared" si="193"/>
        <v>Priest of Culture</v>
      </c>
      <c r="BB412" s="174" t="str">
        <f t="shared" si="193"/>
        <v>Priest of Darkness, Night</v>
      </c>
      <c r="BC412" s="174" t="str">
        <f t="shared" si="193"/>
        <v>Priest of Dawn</v>
      </c>
      <c r="BD412" s="174" t="str">
        <f t="shared" si="193"/>
        <v>Priest of Death</v>
      </c>
      <c r="BE412" s="174" t="str">
        <f t="shared" si="193"/>
        <v>Priest of Disease</v>
      </c>
      <c r="BF412" s="174" t="str">
        <f t="shared" si="193"/>
        <v>Priest of Earth</v>
      </c>
      <c r="BG412" s="174" t="str">
        <f t="shared" si="193"/>
        <v>Priest of Fate, Destiny</v>
      </c>
      <c r="BH412" s="174" t="str">
        <f t="shared" si="193"/>
        <v>Priest of Fertility</v>
      </c>
      <c r="BI412" s="174" t="str">
        <f t="shared" si="193"/>
        <v>Priest of Fire</v>
      </c>
      <c r="BJ412" s="174" t="str">
        <f t="shared" si="193"/>
        <v>Priest of Fortune, Luck</v>
      </c>
      <c r="BK412" s="174" t="str">
        <f t="shared" si="193"/>
        <v>Priest of Guardianship</v>
      </c>
      <c r="BL412" s="174" t="str">
        <f t="shared" si="193"/>
        <v>Priest of Healing</v>
      </c>
      <c r="BM412" s="174" t="str">
        <f t="shared" si="193"/>
        <v>Priest of Hunting</v>
      </c>
      <c r="BN412" s="174" t="str">
        <f t="shared" si="193"/>
        <v>Priest of Justice, Revenge</v>
      </c>
      <c r="BO412" s="174" t="str">
        <f t="shared" si="193"/>
        <v>Priest of Light</v>
      </c>
      <c r="BP412" s="174" t="str">
        <f t="shared" si="193"/>
        <v>Priest of Lightning</v>
      </c>
      <c r="BQ412" s="174" t="str">
        <f t="shared" si="193"/>
        <v>Priest of Literature</v>
      </c>
      <c r="BR412" s="174" t="str">
        <f t="shared" si="193"/>
        <v>Priest of Love</v>
      </c>
      <c r="BS412" s="174" t="str">
        <f t="shared" si="193"/>
        <v>Priest of Magic</v>
      </c>
      <c r="BT412" s="174" t="str">
        <f t="shared" si="193"/>
        <v>Priest of Marriage</v>
      </c>
      <c r="BU412" s="174" t="str">
        <f t="shared" si="193"/>
        <v>Priest of Messengers</v>
      </c>
      <c r="BV412" s="174" t="str">
        <f t="shared" si="193"/>
        <v>Priest of Metalwork</v>
      </c>
      <c r="BW412" s="174" t="str">
        <f t="shared" si="193"/>
        <v>Priest of Mischief/Trickery</v>
      </c>
      <c r="BX412" s="174" t="str">
        <f t="shared" si="193"/>
        <v>Priest of Moon</v>
      </c>
      <c r="BY412" s="174" t="str">
        <f t="shared" si="193"/>
        <v>Priest of Music, Dance</v>
      </c>
      <c r="BZ412" s="174" t="str">
        <f t="shared" si="193"/>
        <v>Priest of Nature</v>
      </c>
      <c r="CA412" s="174" t="str">
        <f t="shared" si="193"/>
        <v>Priest of Ocean, Rivers</v>
      </c>
      <c r="CB412" s="174" t="str">
        <f t="shared" si="193"/>
        <v>Priest of Oracles</v>
      </c>
      <c r="CC412" s="174" t="str">
        <f t="shared" si="193"/>
        <v>Priest of Peace</v>
      </c>
      <c r="CD412" s="174" t="str">
        <f t="shared" si="193"/>
        <v>Priest of Prosperity</v>
      </c>
      <c r="CE412" s="174" t="str">
        <f t="shared" si="193"/>
        <v>Priest of Redemption</v>
      </c>
      <c r="CF412" s="174" t="str">
        <f t="shared" si="193"/>
        <v>Priest of Rulership</v>
      </c>
      <c r="CG412" s="174" t="str">
        <f t="shared" si="193"/>
        <v>Priest of Seasons</v>
      </c>
      <c r="CH412" s="174" t="str">
        <f t="shared" si="193"/>
        <v>Priest of Sky, Weather</v>
      </c>
      <c r="CI412" s="174" t="str">
        <f t="shared" si="193"/>
        <v>Priest of Strength</v>
      </c>
      <c r="CJ412" s="174" t="str">
        <f t="shared" si="193"/>
        <v>Priest of Sun</v>
      </c>
      <c r="CK412" s="174" t="str">
        <f t="shared" si="193"/>
        <v>Priest of Thunder</v>
      </c>
      <c r="CL412" s="174" t="str">
        <f t="shared" si="193"/>
        <v>Priest of Time</v>
      </c>
      <c r="CN412" s="174" t="str">
        <f t="shared" si="193"/>
        <v>Priest of Vegetation</v>
      </c>
      <c r="CO412" s="174" t="str">
        <f t="shared" si="193"/>
        <v>Priest of War</v>
      </c>
      <c r="CP412" s="174" t="str">
        <f t="shared" si="193"/>
        <v>Priest of Wind</v>
      </c>
      <c r="CQ412" s="174" t="str">
        <f t="shared" si="193"/>
        <v>Priest of Wisdom</v>
      </c>
      <c r="CS412" s="174" t="str">
        <f>CS163</f>
        <v>Barbarian (FRP)</v>
      </c>
      <c r="CT412" s="174" t="str">
        <f>CT163</f>
        <v>Outrider (FRP)</v>
      </c>
      <c r="CU412" s="174" t="str">
        <f>CU163</f>
        <v>Sage (FRP)</v>
      </c>
      <c r="CV412" s="174" t="str">
        <f>CV163</f>
        <v>Swashbuckler (FRP)</v>
      </c>
      <c r="CX412" s="174" t="s">
        <v>870</v>
      </c>
      <c r="CY412" s="174" t="s">
        <v>871</v>
      </c>
      <c r="CZ412" s="174" t="s">
        <v>872</v>
      </c>
      <c r="DA412" s="174" t="s">
        <v>1149</v>
      </c>
      <c r="DB412" s="174" t="s">
        <v>874</v>
      </c>
      <c r="DC412" s="174" t="s">
        <v>875</v>
      </c>
      <c r="DD412" s="174" t="s">
        <v>876</v>
      </c>
      <c r="DE412" s="174" t="s">
        <v>877</v>
      </c>
      <c r="DF412" s="174">
        <v>1</v>
      </c>
    </row>
    <row r="413" spans="5:110" ht="13.35" customHeight="1" x14ac:dyDescent="0.2">
      <c r="E413" s="182" t="s">
        <v>755</v>
      </c>
      <c r="F413" s="190" t="s">
        <v>3485</v>
      </c>
      <c r="G413" s="190" t="s">
        <v>3485</v>
      </c>
      <c r="H413" s="190" t="s">
        <v>3485</v>
      </c>
      <c r="I413" s="190" t="s">
        <v>3485</v>
      </c>
      <c r="J413" s="190" t="s">
        <v>3485</v>
      </c>
      <c r="K413" s="190" t="s">
        <v>1103</v>
      </c>
      <c r="L413" s="190" t="s">
        <v>1103</v>
      </c>
      <c r="M413" s="190" t="s">
        <v>1103</v>
      </c>
      <c r="N413" s="190" t="s">
        <v>1103</v>
      </c>
      <c r="O413" s="190" t="s">
        <v>1103</v>
      </c>
      <c r="P413" s="190" t="s">
        <v>1103</v>
      </c>
      <c r="Q413" s="190" t="s">
        <v>1103</v>
      </c>
      <c r="R413" s="190" t="s">
        <v>1103</v>
      </c>
      <c r="S413" s="190" t="s">
        <v>1103</v>
      </c>
      <c r="T413" s="190" t="s">
        <v>3486</v>
      </c>
      <c r="U413" s="190" t="s">
        <v>3486</v>
      </c>
      <c r="V413" s="190" t="s">
        <v>3486</v>
      </c>
      <c r="W413" s="190" t="s">
        <v>3486</v>
      </c>
      <c r="X413" s="190" t="s">
        <v>3486</v>
      </c>
      <c r="Y413" s="190" t="s">
        <v>3486</v>
      </c>
      <c r="Z413" s="190"/>
      <c r="AA413" s="190" t="s">
        <v>1103</v>
      </c>
      <c r="AB413" s="190" t="s">
        <v>1103</v>
      </c>
      <c r="AC413" s="190" t="s">
        <v>3486</v>
      </c>
      <c r="AD413" s="190" t="s">
        <v>3486</v>
      </c>
      <c r="AE413" s="190"/>
      <c r="AF413" s="190" t="s">
        <v>1103</v>
      </c>
      <c r="AG413" s="190" t="s">
        <v>1103</v>
      </c>
      <c r="AH413" s="190" t="s">
        <v>3486</v>
      </c>
      <c r="AI413" s="190"/>
      <c r="AJ413" s="190" t="s">
        <v>3486</v>
      </c>
      <c r="AK413" s="190" t="s">
        <v>1103</v>
      </c>
      <c r="AL413" s="190" t="s">
        <v>1103</v>
      </c>
      <c r="AM413" s="190" t="s">
        <v>1103</v>
      </c>
      <c r="AN413" s="190"/>
      <c r="AO413" s="190" t="s">
        <v>1103</v>
      </c>
      <c r="AP413" s="190" t="s">
        <v>1103</v>
      </c>
      <c r="AQ413" s="190" t="s">
        <v>3486</v>
      </c>
      <c r="AR413" s="190"/>
      <c r="AS413" s="190" t="s">
        <v>1103</v>
      </c>
      <c r="AT413" s="190" t="s">
        <v>1103</v>
      </c>
      <c r="AU413" s="190" t="s">
        <v>1103</v>
      </c>
      <c r="AV413" s="190" t="s">
        <v>1103</v>
      </c>
      <c r="AW413" s="190" t="s">
        <v>1103</v>
      </c>
      <c r="AX413" s="190" t="s">
        <v>1103</v>
      </c>
      <c r="AY413" s="190" t="s">
        <v>1103</v>
      </c>
      <c r="AZ413" s="190" t="s">
        <v>1103</v>
      </c>
      <c r="BA413" s="190" t="s">
        <v>1103</v>
      </c>
      <c r="BB413" s="190" t="s">
        <v>1103</v>
      </c>
      <c r="BC413" s="190" t="s">
        <v>1103</v>
      </c>
      <c r="BD413" s="190" t="s">
        <v>1103</v>
      </c>
      <c r="BE413" s="190" t="s">
        <v>1103</v>
      </c>
      <c r="BF413" s="190" t="s">
        <v>1103</v>
      </c>
      <c r="BG413" s="190" t="s">
        <v>1103</v>
      </c>
      <c r="BH413" s="190" t="s">
        <v>1103</v>
      </c>
      <c r="BI413" s="190" t="s">
        <v>1103</v>
      </c>
      <c r="BJ413" s="190" t="s">
        <v>1103</v>
      </c>
      <c r="BK413" s="190" t="s">
        <v>1103</v>
      </c>
      <c r="BL413" s="190" t="s">
        <v>1103</v>
      </c>
      <c r="BM413" s="190" t="s">
        <v>1103</v>
      </c>
      <c r="BN413" s="190" t="s">
        <v>1103</v>
      </c>
      <c r="BO413" s="190" t="s">
        <v>1103</v>
      </c>
      <c r="BP413" s="190" t="s">
        <v>1103</v>
      </c>
      <c r="BQ413" s="190" t="s">
        <v>1103</v>
      </c>
      <c r="BR413" s="190" t="s">
        <v>1103</v>
      </c>
      <c r="BS413" s="190" t="s">
        <v>1103</v>
      </c>
      <c r="BT413" s="190" t="s">
        <v>1103</v>
      </c>
      <c r="BU413" s="190" t="s">
        <v>1103</v>
      </c>
      <c r="BV413" s="190" t="s">
        <v>1103</v>
      </c>
      <c r="BW413" s="190" t="s">
        <v>1103</v>
      </c>
      <c r="BX413" s="190" t="s">
        <v>1103</v>
      </c>
      <c r="BY413" s="190" t="s">
        <v>1103</v>
      </c>
      <c r="BZ413" s="190" t="s">
        <v>1103</v>
      </c>
      <c r="CA413" s="190" t="s">
        <v>1103</v>
      </c>
      <c r="CB413" s="190" t="s">
        <v>1103</v>
      </c>
      <c r="CC413" s="190" t="s">
        <v>1103</v>
      </c>
      <c r="CD413" s="190" t="s">
        <v>1103</v>
      </c>
      <c r="CE413" s="190" t="s">
        <v>1103</v>
      </c>
      <c r="CF413" s="190" t="s">
        <v>1103</v>
      </c>
      <c r="CG413" s="190" t="s">
        <v>1103</v>
      </c>
      <c r="CH413" s="190" t="s">
        <v>1103</v>
      </c>
      <c r="CI413" s="190" t="s">
        <v>1103</v>
      </c>
      <c r="CJ413" s="190" t="s">
        <v>1103</v>
      </c>
      <c r="CK413" s="190" t="s">
        <v>1103</v>
      </c>
      <c r="CL413" s="190" t="s">
        <v>1103</v>
      </c>
      <c r="CM413" s="190"/>
      <c r="CN413" s="190" t="s">
        <v>1103</v>
      </c>
      <c r="CO413" s="190" t="s">
        <v>1103</v>
      </c>
      <c r="CP413" s="190" t="s">
        <v>1103</v>
      </c>
      <c r="CQ413" s="190" t="s">
        <v>1103</v>
      </c>
      <c r="CR413" s="190"/>
      <c r="CS413" s="190" t="s">
        <v>3485</v>
      </c>
      <c r="CT413" s="190" t="s">
        <v>3485</v>
      </c>
      <c r="CU413" s="190" t="s">
        <v>3485</v>
      </c>
      <c r="CV413" s="190" t="s">
        <v>3485</v>
      </c>
      <c r="CW413" s="190"/>
      <c r="CX413" s="190" t="s">
        <v>3485</v>
      </c>
      <c r="CY413" s="190" t="s">
        <v>1103</v>
      </c>
      <c r="CZ413" s="190" t="s">
        <v>1103</v>
      </c>
      <c r="DA413" s="190" t="s">
        <v>3485</v>
      </c>
      <c r="DB413" s="190" t="s">
        <v>1103</v>
      </c>
      <c r="DC413" s="190" t="s">
        <v>1103</v>
      </c>
      <c r="DD413" s="190" t="s">
        <v>1103</v>
      </c>
      <c r="DF413" s="174">
        <v>2</v>
      </c>
    </row>
    <row r="414" spans="5:110" ht="13.35" customHeight="1" x14ac:dyDescent="0.2">
      <c r="E414" s="182" t="s">
        <v>3487</v>
      </c>
      <c r="F414" s="190" t="s">
        <v>3488</v>
      </c>
      <c r="G414" s="190" t="s">
        <v>3488</v>
      </c>
      <c r="H414" s="190" t="s">
        <v>3488</v>
      </c>
      <c r="I414" s="190" t="s">
        <v>3488</v>
      </c>
      <c r="J414" s="190" t="s">
        <v>3488</v>
      </c>
      <c r="K414" s="190" t="s">
        <v>1104</v>
      </c>
      <c r="L414" s="190" t="s">
        <v>1104</v>
      </c>
      <c r="M414" s="190" t="s">
        <v>1104</v>
      </c>
      <c r="N414" s="190" t="s">
        <v>1104</v>
      </c>
      <c r="O414" s="190" t="s">
        <v>1104</v>
      </c>
      <c r="P414" s="190" t="s">
        <v>1104</v>
      </c>
      <c r="Q414" s="190" t="s">
        <v>1104</v>
      </c>
      <c r="R414" s="190" t="s">
        <v>1104</v>
      </c>
      <c r="S414" s="190" t="s">
        <v>1104</v>
      </c>
      <c r="T414" s="190" t="s">
        <v>3489</v>
      </c>
      <c r="U414" s="190" t="s">
        <v>3489</v>
      </c>
      <c r="V414" s="190" t="s">
        <v>3489</v>
      </c>
      <c r="W414" s="190" t="s">
        <v>3489</v>
      </c>
      <c r="X414" s="190" t="s">
        <v>3489</v>
      </c>
      <c r="Y414" s="190" t="s">
        <v>3489</v>
      </c>
      <c r="Z414" s="190"/>
      <c r="AA414" s="190" t="s">
        <v>3490</v>
      </c>
      <c r="AB414" s="190" t="s">
        <v>3490</v>
      </c>
      <c r="AC414" s="190" t="s">
        <v>3489</v>
      </c>
      <c r="AD414" s="190" t="s">
        <v>3489</v>
      </c>
      <c r="AE414" s="190"/>
      <c r="AF414" s="190" t="s">
        <v>1104</v>
      </c>
      <c r="AG414" s="190" t="s">
        <v>1104</v>
      </c>
      <c r="AH414" s="190" t="s">
        <v>3489</v>
      </c>
      <c r="AI414" s="190"/>
      <c r="AJ414" s="190" t="s">
        <v>3489</v>
      </c>
      <c r="AK414" s="190" t="s">
        <v>1104</v>
      </c>
      <c r="AL414" s="190" t="s">
        <v>1104</v>
      </c>
      <c r="AM414" s="190" t="s">
        <v>1104</v>
      </c>
      <c r="AN414" s="190"/>
      <c r="AO414" s="190" t="s">
        <v>1104</v>
      </c>
      <c r="AP414" s="190" t="s">
        <v>1104</v>
      </c>
      <c r="AQ414" s="190" t="s">
        <v>3489</v>
      </c>
      <c r="AR414" s="190"/>
      <c r="AS414" s="190" t="s">
        <v>1104</v>
      </c>
      <c r="AT414" s="190" t="s">
        <v>1104</v>
      </c>
      <c r="AU414" s="190" t="s">
        <v>1104</v>
      </c>
      <c r="AV414" s="190" t="s">
        <v>1104</v>
      </c>
      <c r="AW414" s="190" t="s">
        <v>1104</v>
      </c>
      <c r="AX414" s="190" t="s">
        <v>1104</v>
      </c>
      <c r="AY414" s="190" t="s">
        <v>1104</v>
      </c>
      <c r="AZ414" s="190" t="s">
        <v>1104</v>
      </c>
      <c r="BA414" s="190" t="s">
        <v>1104</v>
      </c>
      <c r="BB414" s="190" t="s">
        <v>1104</v>
      </c>
      <c r="BC414" s="190" t="s">
        <v>1104</v>
      </c>
      <c r="BD414" s="190" t="s">
        <v>1104</v>
      </c>
      <c r="BE414" s="190" t="s">
        <v>1104</v>
      </c>
      <c r="BF414" s="190" t="s">
        <v>1104</v>
      </c>
      <c r="BG414" s="190" t="s">
        <v>1104</v>
      </c>
      <c r="BH414" s="190" t="s">
        <v>1104</v>
      </c>
      <c r="BI414" s="190" t="s">
        <v>1104</v>
      </c>
      <c r="BJ414" s="190" t="s">
        <v>1104</v>
      </c>
      <c r="BK414" s="190" t="s">
        <v>1104</v>
      </c>
      <c r="BL414" s="190" t="s">
        <v>1104</v>
      </c>
      <c r="BM414" s="190" t="s">
        <v>1104</v>
      </c>
      <c r="BN414" s="190" t="s">
        <v>1104</v>
      </c>
      <c r="BO414" s="190" t="s">
        <v>1104</v>
      </c>
      <c r="BP414" s="190" t="s">
        <v>1104</v>
      </c>
      <c r="BQ414" s="190" t="s">
        <v>1104</v>
      </c>
      <c r="BR414" s="190" t="s">
        <v>1104</v>
      </c>
      <c r="BS414" s="190" t="s">
        <v>1104</v>
      </c>
      <c r="BT414" s="190" t="s">
        <v>1104</v>
      </c>
      <c r="BU414" s="190" t="s">
        <v>1104</v>
      </c>
      <c r="BV414" s="190" t="s">
        <v>1104</v>
      </c>
      <c r="BW414" s="190" t="s">
        <v>1104</v>
      </c>
      <c r="BX414" s="190" t="s">
        <v>1104</v>
      </c>
      <c r="BY414" s="190" t="s">
        <v>1104</v>
      </c>
      <c r="BZ414" s="190" t="s">
        <v>1104</v>
      </c>
      <c r="CA414" s="190" t="s">
        <v>1104</v>
      </c>
      <c r="CB414" s="190" t="s">
        <v>1104</v>
      </c>
      <c r="CC414" s="190" t="s">
        <v>1104</v>
      </c>
      <c r="CD414" s="190" t="s">
        <v>1104</v>
      </c>
      <c r="CE414" s="190" t="s">
        <v>1104</v>
      </c>
      <c r="CF414" s="190" t="s">
        <v>1104</v>
      </c>
      <c r="CG414" s="190" t="s">
        <v>1104</v>
      </c>
      <c r="CH414" s="190" t="s">
        <v>1104</v>
      </c>
      <c r="CI414" s="190" t="s">
        <v>1104</v>
      </c>
      <c r="CJ414" s="190" t="s">
        <v>1104</v>
      </c>
      <c r="CK414" s="190" t="s">
        <v>1104</v>
      </c>
      <c r="CL414" s="190" t="s">
        <v>1104</v>
      </c>
      <c r="CM414" s="190"/>
      <c r="CN414" s="190" t="s">
        <v>1104</v>
      </c>
      <c r="CO414" s="190" t="s">
        <v>1104</v>
      </c>
      <c r="CP414" s="190" t="s">
        <v>1104</v>
      </c>
      <c r="CQ414" s="190" t="s">
        <v>1104</v>
      </c>
      <c r="CR414" s="190"/>
      <c r="CS414" s="190" t="s">
        <v>3491</v>
      </c>
      <c r="CT414" s="190" t="s">
        <v>3491</v>
      </c>
      <c r="CU414" s="190" t="s">
        <v>3491</v>
      </c>
      <c r="CV414" s="190" t="s">
        <v>3491</v>
      </c>
      <c r="CW414" s="190"/>
      <c r="CX414" s="190" t="s">
        <v>3491</v>
      </c>
      <c r="CY414" s="190" t="s">
        <v>1104</v>
      </c>
      <c r="CZ414" s="190" t="s">
        <v>1104</v>
      </c>
      <c r="DA414" s="190" t="s">
        <v>3488</v>
      </c>
      <c r="DB414" s="190" t="s">
        <v>1104</v>
      </c>
      <c r="DC414" s="190" t="s">
        <v>1104</v>
      </c>
      <c r="DD414" s="190" t="s">
        <v>1104</v>
      </c>
      <c r="DF414" s="174">
        <v>3</v>
      </c>
    </row>
    <row r="415" spans="5:110" ht="13.35" customHeight="1" x14ac:dyDescent="0.2">
      <c r="E415" s="182" t="s">
        <v>3492</v>
      </c>
      <c r="F415" s="190" t="s">
        <v>1075</v>
      </c>
      <c r="G415" s="190" t="s">
        <v>1075</v>
      </c>
      <c r="H415" s="190" t="s">
        <v>1075</v>
      </c>
      <c r="I415" s="190" t="s">
        <v>1075</v>
      </c>
      <c r="J415" s="190" t="s">
        <v>1075</v>
      </c>
      <c r="K415" s="190" t="s">
        <v>1075</v>
      </c>
      <c r="L415" s="190" t="s">
        <v>1075</v>
      </c>
      <c r="M415" s="190" t="s">
        <v>1075</v>
      </c>
      <c r="N415" s="190" t="s">
        <v>1075</v>
      </c>
      <c r="O415" s="190" t="s">
        <v>1075</v>
      </c>
      <c r="P415" s="190" t="s">
        <v>1075</v>
      </c>
      <c r="Q415" s="190" t="s">
        <v>3493</v>
      </c>
      <c r="R415" s="190" t="s">
        <v>3493</v>
      </c>
      <c r="S415" s="190" t="s">
        <v>3493</v>
      </c>
      <c r="T415" s="190" t="s">
        <v>1075</v>
      </c>
      <c r="U415" s="190" t="s">
        <v>1075</v>
      </c>
      <c r="V415" s="190" t="s">
        <v>1075</v>
      </c>
      <c r="W415" s="190" t="s">
        <v>1075</v>
      </c>
      <c r="X415" s="190" t="s">
        <v>1075</v>
      </c>
      <c r="Y415" s="190" t="s">
        <v>1075</v>
      </c>
      <c r="Z415" s="190"/>
      <c r="AA415" s="190" t="s">
        <v>929</v>
      </c>
      <c r="AB415" s="190" t="s">
        <v>929</v>
      </c>
      <c r="AC415" s="190" t="s">
        <v>934</v>
      </c>
      <c r="AD415" s="190" t="s">
        <v>934</v>
      </c>
      <c r="AE415" s="190"/>
      <c r="AF415" s="190" t="s">
        <v>3493</v>
      </c>
      <c r="AG415" s="190" t="s">
        <v>1075</v>
      </c>
      <c r="AH415" s="190" t="s">
        <v>1075</v>
      </c>
      <c r="AI415" s="190"/>
      <c r="AJ415" s="190" t="s">
        <v>1075</v>
      </c>
      <c r="AK415" s="190" t="s">
        <v>3493</v>
      </c>
      <c r="AL415" s="190" t="s">
        <v>1075</v>
      </c>
      <c r="AM415" s="190" t="s">
        <v>3493</v>
      </c>
      <c r="AN415" s="190"/>
      <c r="AO415" s="190" t="s">
        <v>3493</v>
      </c>
      <c r="AP415" s="190" t="s">
        <v>3493</v>
      </c>
      <c r="AQ415" s="190" t="s">
        <v>1075</v>
      </c>
      <c r="AR415" s="190"/>
      <c r="AS415" s="190" t="s">
        <v>1075</v>
      </c>
      <c r="AT415" s="190" t="s">
        <v>1075</v>
      </c>
      <c r="AU415" s="190" t="s">
        <v>1075</v>
      </c>
      <c r="AV415" s="190" t="s">
        <v>1075</v>
      </c>
      <c r="AW415" s="190" t="s">
        <v>1075</v>
      </c>
      <c r="AX415" s="190" t="s">
        <v>1075</v>
      </c>
      <c r="AY415" s="190" t="s">
        <v>1075</v>
      </c>
      <c r="AZ415" s="190" t="s">
        <v>1075</v>
      </c>
      <c r="BA415" s="190" t="s">
        <v>1075</v>
      </c>
      <c r="BB415" s="190" t="s">
        <v>1075</v>
      </c>
      <c r="BC415" s="190" t="s">
        <v>1075</v>
      </c>
      <c r="BD415" s="190" t="s">
        <v>1075</v>
      </c>
      <c r="BE415" s="190" t="s">
        <v>1075</v>
      </c>
      <c r="BF415" s="190" t="s">
        <v>1075</v>
      </c>
      <c r="BG415" s="190" t="s">
        <v>1075</v>
      </c>
      <c r="BH415" s="190" t="s">
        <v>1075</v>
      </c>
      <c r="BI415" s="190" t="s">
        <v>1075</v>
      </c>
      <c r="BJ415" s="190" t="s">
        <v>1075</v>
      </c>
      <c r="BK415" s="190" t="s">
        <v>1075</v>
      </c>
      <c r="BL415" s="190" t="s">
        <v>1075</v>
      </c>
      <c r="BM415" s="190" t="s">
        <v>1075</v>
      </c>
      <c r="BN415" s="190" t="s">
        <v>1075</v>
      </c>
      <c r="BO415" s="190" t="s">
        <v>1075</v>
      </c>
      <c r="BP415" s="190" t="s">
        <v>1075</v>
      </c>
      <c r="BQ415" s="190" t="s">
        <v>1075</v>
      </c>
      <c r="BR415" s="190" t="s">
        <v>1075</v>
      </c>
      <c r="BS415" s="190" t="s">
        <v>1075</v>
      </c>
      <c r="BT415" s="190" t="s">
        <v>1075</v>
      </c>
      <c r="BU415" s="190" t="s">
        <v>1075</v>
      </c>
      <c r="BV415" s="190" t="s">
        <v>1075</v>
      </c>
      <c r="BW415" s="190" t="s">
        <v>1075</v>
      </c>
      <c r="BX415" s="190" t="s">
        <v>1075</v>
      </c>
      <c r="BY415" s="190" t="s">
        <v>1075</v>
      </c>
      <c r="BZ415" s="190" t="s">
        <v>1075</v>
      </c>
      <c r="CA415" s="190" t="s">
        <v>1075</v>
      </c>
      <c r="CB415" s="190" t="s">
        <v>1075</v>
      </c>
      <c r="CC415" s="190" t="s">
        <v>1075</v>
      </c>
      <c r="CD415" s="190" t="s">
        <v>1075</v>
      </c>
      <c r="CE415" s="190" t="s">
        <v>1075</v>
      </c>
      <c r="CF415" s="190" t="s">
        <v>1075</v>
      </c>
      <c r="CG415" s="190" t="s">
        <v>1075</v>
      </c>
      <c r="CH415" s="190" t="s">
        <v>1075</v>
      </c>
      <c r="CI415" s="190" t="s">
        <v>1075</v>
      </c>
      <c r="CJ415" s="190" t="s">
        <v>1075</v>
      </c>
      <c r="CK415" s="190" t="s">
        <v>1075</v>
      </c>
      <c r="CL415" s="190" t="s">
        <v>1075</v>
      </c>
      <c r="CM415" s="190"/>
      <c r="CN415" s="190" t="s">
        <v>1075</v>
      </c>
      <c r="CO415" s="190" t="s">
        <v>1075</v>
      </c>
      <c r="CP415" s="190" t="s">
        <v>1075</v>
      </c>
      <c r="CQ415" s="190" t="s">
        <v>1075</v>
      </c>
      <c r="CR415" s="190"/>
      <c r="CS415" s="190" t="s">
        <v>1075</v>
      </c>
      <c r="CT415" s="190" t="s">
        <v>1075</v>
      </c>
      <c r="CU415" s="190" t="s">
        <v>1075</v>
      </c>
      <c r="CV415" s="190" t="s">
        <v>1075</v>
      </c>
      <c r="CW415" s="190"/>
      <c r="CX415" s="190" t="s">
        <v>1075</v>
      </c>
      <c r="CY415" s="190" t="s">
        <v>3493</v>
      </c>
      <c r="CZ415" s="190" t="s">
        <v>3493</v>
      </c>
      <c r="DA415" s="190" t="s">
        <v>1075</v>
      </c>
      <c r="DB415" s="190" t="s">
        <v>1075</v>
      </c>
      <c r="DC415" s="190" t="s">
        <v>1075</v>
      </c>
      <c r="DD415" s="190" t="s">
        <v>1075</v>
      </c>
      <c r="DF415" s="174">
        <v>4</v>
      </c>
    </row>
    <row r="416" spans="5:110" ht="13.35" customHeight="1" x14ac:dyDescent="0.2">
      <c r="E416" s="182" t="s">
        <v>758</v>
      </c>
      <c r="F416" s="190" t="s">
        <v>1079</v>
      </c>
      <c r="G416" s="190" t="s">
        <v>3494</v>
      </c>
      <c r="H416" s="190" t="s">
        <v>1080</v>
      </c>
      <c r="I416" s="190" t="s">
        <v>3495</v>
      </c>
      <c r="J416" s="190" t="s">
        <v>3495</v>
      </c>
      <c r="K416" s="190" t="s">
        <v>1096</v>
      </c>
      <c r="L416" s="190" t="s">
        <v>1096</v>
      </c>
      <c r="M416" s="190" t="s">
        <v>1096</v>
      </c>
      <c r="N416" s="190" t="s">
        <v>1096</v>
      </c>
      <c r="O416" s="190" t="s">
        <v>1096</v>
      </c>
      <c r="P416" s="190" t="s">
        <v>1096</v>
      </c>
      <c r="Q416" s="190" t="s">
        <v>1089</v>
      </c>
      <c r="R416" s="190" t="s">
        <v>1089</v>
      </c>
      <c r="S416" s="190" t="s">
        <v>1089</v>
      </c>
      <c r="T416" s="190" t="s">
        <v>1087</v>
      </c>
      <c r="U416" s="190" t="s">
        <v>1087</v>
      </c>
      <c r="V416" s="190" t="s">
        <v>1087</v>
      </c>
      <c r="W416" s="190" t="s">
        <v>1087</v>
      </c>
      <c r="X416" s="190" t="s">
        <v>1087</v>
      </c>
      <c r="Y416" s="190" t="s">
        <v>1087</v>
      </c>
      <c r="Z416" s="190"/>
      <c r="AA416" s="190" t="s">
        <v>1107</v>
      </c>
      <c r="AB416" s="190" t="s">
        <v>1107</v>
      </c>
      <c r="AC416" s="190" t="s">
        <v>1070</v>
      </c>
      <c r="AD416" s="190" t="s">
        <v>1070</v>
      </c>
      <c r="AE416" s="190"/>
      <c r="AF416" s="190" t="s">
        <v>1089</v>
      </c>
      <c r="AG416" s="190" t="s">
        <v>1096</v>
      </c>
      <c r="AH416" s="190" t="s">
        <v>1087</v>
      </c>
      <c r="AI416" s="190"/>
      <c r="AJ416" s="190" t="s">
        <v>1087</v>
      </c>
      <c r="AK416" s="190" t="s">
        <v>1089</v>
      </c>
      <c r="AL416" s="190" t="s">
        <v>1096</v>
      </c>
      <c r="AM416" s="190" t="s">
        <v>1089</v>
      </c>
      <c r="AN416" s="190"/>
      <c r="AO416" s="190" t="s">
        <v>1089</v>
      </c>
      <c r="AP416" s="190" t="s">
        <v>1089</v>
      </c>
      <c r="AQ416" s="190" t="s">
        <v>1087</v>
      </c>
      <c r="AR416" s="190"/>
      <c r="AS416" s="190" t="s">
        <v>1096</v>
      </c>
      <c r="AT416" s="190" t="s">
        <v>1096</v>
      </c>
      <c r="AU416" s="190" t="s">
        <v>1096</v>
      </c>
      <c r="AV416" s="190" t="s">
        <v>1096</v>
      </c>
      <c r="AW416" s="190" t="s">
        <v>1096</v>
      </c>
      <c r="AX416" s="190" t="s">
        <v>1096</v>
      </c>
      <c r="AY416" s="190" t="s">
        <v>1096</v>
      </c>
      <c r="AZ416" s="190" t="s">
        <v>1096</v>
      </c>
      <c r="BA416" s="190" t="s">
        <v>1096</v>
      </c>
      <c r="BB416" s="190" t="s">
        <v>1096</v>
      </c>
      <c r="BC416" s="190" t="s">
        <v>1096</v>
      </c>
      <c r="BD416" s="190" t="s">
        <v>1096</v>
      </c>
      <c r="BE416" s="190" t="s">
        <v>1096</v>
      </c>
      <c r="BF416" s="190" t="s">
        <v>1096</v>
      </c>
      <c r="BG416" s="190" t="s">
        <v>1096</v>
      </c>
      <c r="BH416" s="190" t="s">
        <v>1096</v>
      </c>
      <c r="BI416" s="190" t="s">
        <v>1096</v>
      </c>
      <c r="BJ416" s="190" t="s">
        <v>1096</v>
      </c>
      <c r="BK416" s="190" t="s">
        <v>1096</v>
      </c>
      <c r="BL416" s="190" t="s">
        <v>1096</v>
      </c>
      <c r="BM416" s="190" t="s">
        <v>1096</v>
      </c>
      <c r="BN416" s="190" t="s">
        <v>1096</v>
      </c>
      <c r="BO416" s="190" t="s">
        <v>1096</v>
      </c>
      <c r="BP416" s="190" t="s">
        <v>1096</v>
      </c>
      <c r="BQ416" s="190" t="s">
        <v>1096</v>
      </c>
      <c r="BR416" s="190" t="s">
        <v>1096</v>
      </c>
      <c r="BS416" s="190" t="s">
        <v>1096</v>
      </c>
      <c r="BT416" s="190" t="s">
        <v>1096</v>
      </c>
      <c r="BU416" s="190" t="s">
        <v>1096</v>
      </c>
      <c r="BV416" s="190" t="s">
        <v>1096</v>
      </c>
      <c r="BW416" s="190" t="s">
        <v>1096</v>
      </c>
      <c r="BX416" s="190" t="s">
        <v>1096</v>
      </c>
      <c r="BY416" s="190" t="s">
        <v>1096</v>
      </c>
      <c r="BZ416" s="190" t="s">
        <v>1096</v>
      </c>
      <c r="CA416" s="190" t="s">
        <v>1096</v>
      </c>
      <c r="CB416" s="190" t="s">
        <v>1096</v>
      </c>
      <c r="CC416" s="190" t="s">
        <v>1096</v>
      </c>
      <c r="CD416" s="190" t="s">
        <v>1096</v>
      </c>
      <c r="CE416" s="190" t="s">
        <v>1096</v>
      </c>
      <c r="CF416" s="190" t="s">
        <v>1096</v>
      </c>
      <c r="CG416" s="190" t="s">
        <v>1096</v>
      </c>
      <c r="CH416" s="190" t="s">
        <v>1096</v>
      </c>
      <c r="CI416" s="190" t="s">
        <v>1096</v>
      </c>
      <c r="CJ416" s="190" t="s">
        <v>1096</v>
      </c>
      <c r="CK416" s="190" t="s">
        <v>1096</v>
      </c>
      <c r="CL416" s="190" t="s">
        <v>1096</v>
      </c>
      <c r="CM416" s="190"/>
      <c r="CN416" s="190" t="s">
        <v>1096</v>
      </c>
      <c r="CO416" s="190" t="s">
        <v>1096</v>
      </c>
      <c r="CP416" s="190" t="s">
        <v>1096</v>
      </c>
      <c r="CQ416" s="190" t="s">
        <v>1096</v>
      </c>
      <c r="CR416" s="190"/>
      <c r="CS416" s="190" t="s">
        <v>3495</v>
      </c>
      <c r="CT416" s="190" t="s">
        <v>1080</v>
      </c>
      <c r="CU416" s="190" t="s">
        <v>1079</v>
      </c>
      <c r="CV416" s="190" t="s">
        <v>1080</v>
      </c>
      <c r="CW416" s="190"/>
      <c r="CX416" s="190" t="s">
        <v>1087</v>
      </c>
      <c r="CY416" s="190" t="s">
        <v>1089</v>
      </c>
      <c r="CZ416" s="190" t="s">
        <v>1089</v>
      </c>
      <c r="DA416" s="190" t="s">
        <v>1108</v>
      </c>
      <c r="DB416" s="190" t="s">
        <v>1096</v>
      </c>
      <c r="DC416" s="190" t="s">
        <v>1096</v>
      </c>
      <c r="DD416" s="190" t="s">
        <v>1096</v>
      </c>
      <c r="DF416" s="174">
        <v>5</v>
      </c>
    </row>
    <row r="417" spans="5:110" ht="13.35" customHeight="1" x14ac:dyDescent="0.2">
      <c r="E417" s="182" t="s">
        <v>760</v>
      </c>
      <c r="F417" s="190" t="s">
        <v>1090</v>
      </c>
      <c r="G417" s="190" t="s">
        <v>3496</v>
      </c>
      <c r="H417" s="190" t="s">
        <v>1095</v>
      </c>
      <c r="I417" s="190" t="s">
        <v>1096</v>
      </c>
      <c r="J417" s="190" t="s">
        <v>1101</v>
      </c>
      <c r="K417" s="190" t="s">
        <v>3497</v>
      </c>
      <c r="L417" s="190" t="s">
        <v>3497</v>
      </c>
      <c r="M417" s="190" t="s">
        <v>3497</v>
      </c>
      <c r="N417" s="190" t="s">
        <v>3497</v>
      </c>
      <c r="O417" s="190" t="s">
        <v>3497</v>
      </c>
      <c r="P417" s="190" t="s">
        <v>3497</v>
      </c>
      <c r="Q417" s="190" t="s">
        <v>3498</v>
      </c>
      <c r="R417" s="190" t="s">
        <v>3498</v>
      </c>
      <c r="S417" s="190" t="s">
        <v>3498</v>
      </c>
      <c r="T417" s="190" t="s">
        <v>1089</v>
      </c>
      <c r="U417" s="190" t="s">
        <v>1089</v>
      </c>
      <c r="V417" s="190" t="s">
        <v>1089</v>
      </c>
      <c r="W417" s="190" t="s">
        <v>1089</v>
      </c>
      <c r="X417" s="190" t="s">
        <v>1089</v>
      </c>
      <c r="Y417" s="190" t="s">
        <v>1089</v>
      </c>
      <c r="Z417" s="190"/>
      <c r="AA417" s="190" t="s">
        <v>928</v>
      </c>
      <c r="AB417" s="190" t="s">
        <v>928</v>
      </c>
      <c r="AC417" s="190" t="s">
        <v>3499</v>
      </c>
      <c r="AD417" s="190" t="s">
        <v>3499</v>
      </c>
      <c r="AE417" s="190"/>
      <c r="AF417" s="190" t="s">
        <v>3498</v>
      </c>
      <c r="AG417" s="190" t="s">
        <v>3497</v>
      </c>
      <c r="AH417" s="190" t="s">
        <v>1089</v>
      </c>
      <c r="AI417" s="190"/>
      <c r="AJ417" s="190" t="s">
        <v>1089</v>
      </c>
      <c r="AK417" s="190" t="s">
        <v>3498</v>
      </c>
      <c r="AL417" s="190" t="s">
        <v>3497</v>
      </c>
      <c r="AM417" s="190" t="s">
        <v>3498</v>
      </c>
      <c r="AN417" s="190"/>
      <c r="AO417" s="190" t="s">
        <v>3498</v>
      </c>
      <c r="AP417" s="190" t="s">
        <v>3498</v>
      </c>
      <c r="AQ417" s="190" t="s">
        <v>1089</v>
      </c>
      <c r="AR417" s="190"/>
      <c r="AS417" s="190" t="s">
        <v>3497</v>
      </c>
      <c r="AT417" s="190" t="s">
        <v>3497</v>
      </c>
      <c r="AU417" s="190" t="s">
        <v>3497</v>
      </c>
      <c r="AV417" s="190" t="s">
        <v>3497</v>
      </c>
      <c r="AW417" s="190" t="s">
        <v>3497</v>
      </c>
      <c r="AX417" s="190" t="s">
        <v>3497</v>
      </c>
      <c r="AY417" s="190" t="s">
        <v>3497</v>
      </c>
      <c r="AZ417" s="190" t="s">
        <v>3497</v>
      </c>
      <c r="BA417" s="190" t="s">
        <v>3497</v>
      </c>
      <c r="BB417" s="190" t="s">
        <v>3497</v>
      </c>
      <c r="BC417" s="190" t="s">
        <v>3497</v>
      </c>
      <c r="BD417" s="190" t="s">
        <v>3497</v>
      </c>
      <c r="BE417" s="190" t="s">
        <v>3497</v>
      </c>
      <c r="BF417" s="190" t="s">
        <v>3497</v>
      </c>
      <c r="BG417" s="190" t="s">
        <v>3497</v>
      </c>
      <c r="BH417" s="190" t="s">
        <v>3497</v>
      </c>
      <c r="BI417" s="190" t="s">
        <v>3497</v>
      </c>
      <c r="BJ417" s="190" t="s">
        <v>3497</v>
      </c>
      <c r="BK417" s="190" t="s">
        <v>3497</v>
      </c>
      <c r="BL417" s="190" t="s">
        <v>3497</v>
      </c>
      <c r="BM417" s="190" t="s">
        <v>3497</v>
      </c>
      <c r="BN417" s="190" t="s">
        <v>3497</v>
      </c>
      <c r="BO417" s="190" t="s">
        <v>3497</v>
      </c>
      <c r="BP417" s="190" t="s">
        <v>3497</v>
      </c>
      <c r="BQ417" s="190" t="s">
        <v>3497</v>
      </c>
      <c r="BR417" s="190" t="s">
        <v>3497</v>
      </c>
      <c r="BS417" s="190" t="s">
        <v>3497</v>
      </c>
      <c r="BT417" s="190" t="s">
        <v>3497</v>
      </c>
      <c r="BU417" s="190" t="s">
        <v>3497</v>
      </c>
      <c r="BV417" s="190" t="s">
        <v>3497</v>
      </c>
      <c r="BW417" s="190" t="s">
        <v>3497</v>
      </c>
      <c r="BX417" s="190" t="s">
        <v>3497</v>
      </c>
      <c r="BY417" s="190" t="s">
        <v>3497</v>
      </c>
      <c r="BZ417" s="190" t="s">
        <v>3497</v>
      </c>
      <c r="CA417" s="190" t="s">
        <v>3497</v>
      </c>
      <c r="CB417" s="190" t="s">
        <v>3497</v>
      </c>
      <c r="CC417" s="190" t="s">
        <v>3497</v>
      </c>
      <c r="CD417" s="190" t="s">
        <v>3497</v>
      </c>
      <c r="CE417" s="190" t="s">
        <v>3497</v>
      </c>
      <c r="CF417" s="190" t="s">
        <v>3497</v>
      </c>
      <c r="CG417" s="190" t="s">
        <v>3497</v>
      </c>
      <c r="CH417" s="190" t="s">
        <v>3497</v>
      </c>
      <c r="CI417" s="190" t="s">
        <v>3497</v>
      </c>
      <c r="CJ417" s="190" t="s">
        <v>3497</v>
      </c>
      <c r="CK417" s="190" t="s">
        <v>3497</v>
      </c>
      <c r="CL417" s="190" t="s">
        <v>3497</v>
      </c>
      <c r="CM417" s="190"/>
      <c r="CN417" s="190" t="s">
        <v>3497</v>
      </c>
      <c r="CO417" s="190" t="s">
        <v>3497</v>
      </c>
      <c r="CP417" s="190" t="s">
        <v>3497</v>
      </c>
      <c r="CQ417" s="190" t="s">
        <v>3497</v>
      </c>
      <c r="CR417" s="190"/>
      <c r="CS417" s="190" t="s">
        <v>1090</v>
      </c>
      <c r="CT417" s="190" t="s">
        <v>3496</v>
      </c>
      <c r="CU417" s="190" t="s">
        <v>1101</v>
      </c>
      <c r="CV417" s="190" t="s">
        <v>1095</v>
      </c>
      <c r="CW417" s="190"/>
      <c r="CX417" s="190" t="s">
        <v>1089</v>
      </c>
      <c r="CY417" s="190" t="s">
        <v>3498</v>
      </c>
      <c r="CZ417" s="190" t="s">
        <v>3498</v>
      </c>
      <c r="DA417" s="190" t="s">
        <v>1068</v>
      </c>
      <c r="DB417" s="190" t="s">
        <v>3497</v>
      </c>
      <c r="DC417" s="190" t="s">
        <v>3497</v>
      </c>
      <c r="DD417" s="190" t="s">
        <v>3497</v>
      </c>
      <c r="DF417" s="174">
        <v>6</v>
      </c>
    </row>
    <row r="418" spans="5:110" ht="13.35" customHeight="1" x14ac:dyDescent="0.2">
      <c r="E418" s="182" t="s">
        <v>761</v>
      </c>
      <c r="F418" s="190" t="s">
        <v>1097</v>
      </c>
      <c r="G418" s="190" t="s">
        <v>1097</v>
      </c>
      <c r="H418" s="190" t="s">
        <v>1078</v>
      </c>
      <c r="I418" s="190" t="s">
        <v>1078</v>
      </c>
      <c r="J418" s="190" t="s">
        <v>3500</v>
      </c>
      <c r="K418" s="190" t="s">
        <v>1088</v>
      </c>
      <c r="L418" s="190" t="s">
        <v>1088</v>
      </c>
      <c r="M418" s="190" t="s">
        <v>1088</v>
      </c>
      <c r="N418" s="190" t="s">
        <v>1088</v>
      </c>
      <c r="O418" s="190" t="s">
        <v>1088</v>
      </c>
      <c r="P418" s="190" t="s">
        <v>1088</v>
      </c>
      <c r="Q418" s="190" t="s">
        <v>1104</v>
      </c>
      <c r="R418" s="190" t="s">
        <v>1104</v>
      </c>
      <c r="S418" s="190" t="s">
        <v>1104</v>
      </c>
      <c r="T418" s="190" t="s">
        <v>1100</v>
      </c>
      <c r="U418" s="190" t="s">
        <v>1100</v>
      </c>
      <c r="V418" s="190" t="s">
        <v>1100</v>
      </c>
      <c r="W418" s="190" t="s">
        <v>1100</v>
      </c>
      <c r="X418" s="190" t="s">
        <v>1100</v>
      </c>
      <c r="Y418" s="190" t="s">
        <v>1100</v>
      </c>
      <c r="Z418" s="190"/>
      <c r="AA418" s="190" t="s">
        <v>928</v>
      </c>
      <c r="AB418" s="190" t="s">
        <v>928</v>
      </c>
      <c r="AC418" s="190" t="s">
        <v>3488</v>
      </c>
      <c r="AD418" s="190" t="s">
        <v>3488</v>
      </c>
      <c r="AE418" s="190"/>
      <c r="AF418" s="190" t="s">
        <v>1104</v>
      </c>
      <c r="AG418" s="190" t="s">
        <v>1088</v>
      </c>
      <c r="AH418" s="190" t="s">
        <v>1100</v>
      </c>
      <c r="AI418" s="190"/>
      <c r="AJ418" s="190" t="s">
        <v>1100</v>
      </c>
      <c r="AK418" s="190" t="s">
        <v>1104</v>
      </c>
      <c r="AL418" s="190" t="s">
        <v>1088</v>
      </c>
      <c r="AM418" s="190" t="s">
        <v>1104</v>
      </c>
      <c r="AN418" s="190"/>
      <c r="AO418" s="190" t="s">
        <v>1104</v>
      </c>
      <c r="AP418" s="190" t="s">
        <v>1104</v>
      </c>
      <c r="AQ418" s="190" t="s">
        <v>1100</v>
      </c>
      <c r="AR418" s="190"/>
      <c r="AS418" s="190" t="s">
        <v>1088</v>
      </c>
      <c r="AT418" s="190" t="s">
        <v>1088</v>
      </c>
      <c r="AU418" s="190" t="s">
        <v>1088</v>
      </c>
      <c r="AV418" s="190" t="s">
        <v>1088</v>
      </c>
      <c r="AW418" s="190" t="s">
        <v>1088</v>
      </c>
      <c r="AX418" s="190" t="s">
        <v>1088</v>
      </c>
      <c r="AY418" s="190" t="s">
        <v>1088</v>
      </c>
      <c r="AZ418" s="190" t="s">
        <v>1088</v>
      </c>
      <c r="BA418" s="190" t="s">
        <v>1088</v>
      </c>
      <c r="BB418" s="190" t="s">
        <v>1088</v>
      </c>
      <c r="BC418" s="190" t="s">
        <v>1088</v>
      </c>
      <c r="BD418" s="190" t="s">
        <v>1088</v>
      </c>
      <c r="BE418" s="190" t="s">
        <v>1088</v>
      </c>
      <c r="BF418" s="190" t="s">
        <v>1088</v>
      </c>
      <c r="BG418" s="190" t="s">
        <v>1088</v>
      </c>
      <c r="BH418" s="190" t="s">
        <v>1088</v>
      </c>
      <c r="BI418" s="190" t="s">
        <v>1088</v>
      </c>
      <c r="BJ418" s="190" t="s">
        <v>1088</v>
      </c>
      <c r="BK418" s="190" t="s">
        <v>1088</v>
      </c>
      <c r="BL418" s="190" t="s">
        <v>1088</v>
      </c>
      <c r="BM418" s="190" t="s">
        <v>1088</v>
      </c>
      <c r="BN418" s="190" t="s">
        <v>1088</v>
      </c>
      <c r="BO418" s="190" t="s">
        <v>1088</v>
      </c>
      <c r="BP418" s="190" t="s">
        <v>1088</v>
      </c>
      <c r="BQ418" s="190" t="s">
        <v>1088</v>
      </c>
      <c r="BR418" s="190" t="s">
        <v>1088</v>
      </c>
      <c r="BS418" s="190" t="s">
        <v>1088</v>
      </c>
      <c r="BT418" s="190" t="s">
        <v>1088</v>
      </c>
      <c r="BU418" s="190" t="s">
        <v>1088</v>
      </c>
      <c r="BV418" s="190" t="s">
        <v>1088</v>
      </c>
      <c r="BW418" s="190" t="s">
        <v>1088</v>
      </c>
      <c r="BX418" s="190" t="s">
        <v>1088</v>
      </c>
      <c r="BY418" s="190" t="s">
        <v>1088</v>
      </c>
      <c r="BZ418" s="190" t="s">
        <v>1088</v>
      </c>
      <c r="CA418" s="190" t="s">
        <v>1088</v>
      </c>
      <c r="CB418" s="190" t="s">
        <v>1088</v>
      </c>
      <c r="CC418" s="190" t="s">
        <v>1088</v>
      </c>
      <c r="CD418" s="190" t="s">
        <v>1088</v>
      </c>
      <c r="CE418" s="190" t="s">
        <v>1088</v>
      </c>
      <c r="CF418" s="190" t="s">
        <v>1088</v>
      </c>
      <c r="CG418" s="190" t="s">
        <v>1088</v>
      </c>
      <c r="CH418" s="190" t="s">
        <v>1088</v>
      </c>
      <c r="CI418" s="190" t="s">
        <v>1088</v>
      </c>
      <c r="CJ418" s="190" t="s">
        <v>1088</v>
      </c>
      <c r="CK418" s="190" t="s">
        <v>1088</v>
      </c>
      <c r="CL418" s="190" t="s">
        <v>1088</v>
      </c>
      <c r="CM418" s="190"/>
      <c r="CN418" s="190" t="s">
        <v>1088</v>
      </c>
      <c r="CO418" s="190" t="s">
        <v>1088</v>
      </c>
      <c r="CP418" s="190" t="s">
        <v>1088</v>
      </c>
      <c r="CQ418" s="190" t="s">
        <v>1088</v>
      </c>
      <c r="CR418" s="190"/>
      <c r="CS418" s="190" t="s">
        <v>3500</v>
      </c>
      <c r="CT418" s="190" t="s">
        <v>1097</v>
      </c>
      <c r="CU418" s="190" t="s">
        <v>1097</v>
      </c>
      <c r="CV418" s="190" t="s">
        <v>1078</v>
      </c>
      <c r="CW418" s="190"/>
      <c r="CX418" s="190" t="s">
        <v>1100</v>
      </c>
      <c r="CY418" s="190" t="s">
        <v>1104</v>
      </c>
      <c r="CZ418" s="190" t="s">
        <v>1104</v>
      </c>
      <c r="DA418" s="190" t="s">
        <v>3501</v>
      </c>
      <c r="DB418" s="190" t="s">
        <v>1088</v>
      </c>
      <c r="DC418" s="190" t="s">
        <v>1088</v>
      </c>
      <c r="DD418" s="190" t="s">
        <v>1088</v>
      </c>
      <c r="DF418" s="174">
        <v>7</v>
      </c>
    </row>
    <row r="419" spans="5:110" ht="13.35" customHeight="1" x14ac:dyDescent="0.2">
      <c r="E419" s="182" t="s">
        <v>762</v>
      </c>
      <c r="F419" s="174" t="str">
        <f t="shared" ref="F419:Y419" si="194">F38</f>
        <v>90*</v>
      </c>
      <c r="G419" s="174" t="str">
        <f t="shared" si="194"/>
        <v>80*</v>
      </c>
      <c r="H419" s="174" t="str">
        <f t="shared" si="194"/>
        <v>60*</v>
      </c>
      <c r="I419" s="174" t="str">
        <f t="shared" si="194"/>
        <v>70*</v>
      </c>
      <c r="J419" s="174" t="str">
        <f t="shared" si="194"/>
        <v>40*</v>
      </c>
      <c r="K419" s="174" t="str">
        <f t="shared" si="194"/>
        <v>10/10*</v>
      </c>
      <c r="L419" s="174" t="str">
        <f t="shared" si="194"/>
        <v>10/10*</v>
      </c>
      <c r="M419" s="174" t="str">
        <f t="shared" si="194"/>
        <v>10/10*</v>
      </c>
      <c r="N419" s="174" t="str">
        <f t="shared" si="194"/>
        <v>10/10*</v>
      </c>
      <c r="O419" s="174" t="str">
        <f t="shared" si="194"/>
        <v>10/10*</v>
      </c>
      <c r="P419" s="174" t="str">
        <f t="shared" si="194"/>
        <v>10/10*</v>
      </c>
      <c r="Q419" s="174" t="str">
        <f t="shared" si="194"/>
        <v>12*</v>
      </c>
      <c r="R419" s="174" t="str">
        <f t="shared" si="194"/>
        <v>12*</v>
      </c>
      <c r="S419" s="174" t="str">
        <f t="shared" si="194"/>
        <v>12*</v>
      </c>
      <c r="T419" s="174" t="str">
        <f t="shared" si="194"/>
        <v>30*</v>
      </c>
      <c r="U419" s="174" t="str">
        <f t="shared" si="194"/>
        <v>30*</v>
      </c>
      <c r="V419" s="174" t="str">
        <f t="shared" si="194"/>
        <v>30*</v>
      </c>
      <c r="W419" s="174" t="str">
        <f t="shared" si="194"/>
        <v>30*</v>
      </c>
      <c r="X419" s="174" t="str">
        <f t="shared" si="194"/>
        <v>30*</v>
      </c>
      <c r="Y419" s="174" t="str">
        <f t="shared" si="194"/>
        <v>30*</v>
      </c>
      <c r="Z419" s="190"/>
      <c r="AA419" s="174" t="str">
        <f t="shared" ref="AA419:AD420" si="195">AA38</f>
        <v>5/5</v>
      </c>
      <c r="AB419" s="174" t="str">
        <f t="shared" si="195"/>
        <v>5/5</v>
      </c>
      <c r="AC419" s="174" t="str">
        <f t="shared" si="195"/>
        <v>12*</v>
      </c>
      <c r="AD419" s="174" t="str">
        <f t="shared" si="195"/>
        <v>12*</v>
      </c>
      <c r="AE419" s="190"/>
      <c r="AF419" s="174" t="str">
        <f t="shared" ref="AF419:AH420" si="196">AF38</f>
        <v>12*</v>
      </c>
      <c r="AG419" s="174" t="str">
        <f t="shared" si="196"/>
        <v>10/10*</v>
      </c>
      <c r="AH419" s="174" t="str">
        <f t="shared" si="196"/>
        <v>30*</v>
      </c>
      <c r="AI419" s="190"/>
      <c r="AJ419" s="174" t="str">
        <f t="shared" ref="AJ419:AM420" si="197">AJ38</f>
        <v>30*</v>
      </c>
      <c r="AK419" s="174" t="str">
        <f t="shared" si="197"/>
        <v>12*</v>
      </c>
      <c r="AL419" s="174" t="str">
        <f t="shared" si="197"/>
        <v>10/10*</v>
      </c>
      <c r="AM419" s="174" t="str">
        <f t="shared" si="197"/>
        <v>12*</v>
      </c>
      <c r="AN419" s="190"/>
      <c r="AO419" s="174" t="str">
        <f t="shared" ref="AO419:AQ420" si="198">AO38</f>
        <v>12*</v>
      </c>
      <c r="AP419" s="174" t="str">
        <f t="shared" si="198"/>
        <v>12*</v>
      </c>
      <c r="AQ419" s="174" t="str">
        <f t="shared" si="198"/>
        <v>30*</v>
      </c>
      <c r="AR419" s="190"/>
      <c r="AS419" s="174" t="str">
        <f t="shared" ref="AS419:BX419" si="199">AS38</f>
        <v>10/10*</v>
      </c>
      <c r="AT419" s="174" t="str">
        <f t="shared" si="199"/>
        <v>10/10*</v>
      </c>
      <c r="AU419" s="174" t="str">
        <f t="shared" si="199"/>
        <v>10/10*</v>
      </c>
      <c r="AV419" s="174" t="str">
        <f t="shared" si="199"/>
        <v>10/10*</v>
      </c>
      <c r="AW419" s="174" t="str">
        <f t="shared" si="199"/>
        <v>10/10*</v>
      </c>
      <c r="AX419" s="174" t="str">
        <f t="shared" si="199"/>
        <v>10/10*</v>
      </c>
      <c r="AY419" s="174" t="str">
        <f t="shared" si="199"/>
        <v>10/10*</v>
      </c>
      <c r="AZ419" s="174" t="str">
        <f t="shared" si="199"/>
        <v>10/10*</v>
      </c>
      <c r="BA419" s="174" t="str">
        <f t="shared" si="199"/>
        <v>10/10*</v>
      </c>
      <c r="BB419" s="174" t="str">
        <f t="shared" si="199"/>
        <v>10/10*</v>
      </c>
      <c r="BC419" s="174" t="str">
        <f t="shared" si="199"/>
        <v>10/10*</v>
      </c>
      <c r="BD419" s="174" t="str">
        <f t="shared" si="199"/>
        <v>10/10*</v>
      </c>
      <c r="BE419" s="174" t="str">
        <f t="shared" si="199"/>
        <v>10/10*</v>
      </c>
      <c r="BF419" s="174" t="str">
        <f t="shared" si="199"/>
        <v>10/10*</v>
      </c>
      <c r="BG419" s="174" t="str">
        <f t="shared" si="199"/>
        <v>10/10*</v>
      </c>
      <c r="BH419" s="174" t="str">
        <f t="shared" si="199"/>
        <v>10/10*</v>
      </c>
      <c r="BI419" s="174" t="str">
        <f t="shared" si="199"/>
        <v>10/10*</v>
      </c>
      <c r="BJ419" s="174" t="str">
        <f t="shared" si="199"/>
        <v>10/10*</v>
      </c>
      <c r="BK419" s="174" t="str">
        <f t="shared" si="199"/>
        <v>10/10*</v>
      </c>
      <c r="BL419" s="174" t="str">
        <f t="shared" si="199"/>
        <v>10/10*</v>
      </c>
      <c r="BM419" s="174" t="str">
        <f t="shared" si="199"/>
        <v>10/10*</v>
      </c>
      <c r="BN419" s="174" t="str">
        <f t="shared" si="199"/>
        <v>10/10*</v>
      </c>
      <c r="BO419" s="174" t="str">
        <f t="shared" si="199"/>
        <v>10/10*</v>
      </c>
      <c r="BP419" s="174" t="str">
        <f t="shared" si="199"/>
        <v>10/10*</v>
      </c>
      <c r="BQ419" s="174" t="str">
        <f t="shared" si="199"/>
        <v>10/10*</v>
      </c>
      <c r="BR419" s="174" t="str">
        <f t="shared" si="199"/>
        <v>10/10*</v>
      </c>
      <c r="BS419" s="174" t="str">
        <f t="shared" si="199"/>
        <v>10/10*</v>
      </c>
      <c r="BT419" s="174" t="str">
        <f t="shared" si="199"/>
        <v>10/10*</v>
      </c>
      <c r="BU419" s="174" t="str">
        <f t="shared" si="199"/>
        <v>10/10*</v>
      </c>
      <c r="BV419" s="174" t="str">
        <f t="shared" si="199"/>
        <v>10/10*</v>
      </c>
      <c r="BW419" s="174" t="str">
        <f t="shared" si="199"/>
        <v>10/10*</v>
      </c>
      <c r="BX419" s="174" t="str">
        <f t="shared" si="199"/>
        <v>10/10*</v>
      </c>
      <c r="BY419" s="174" t="str">
        <f t="shared" ref="BY419:CQ419" si="200">BY38</f>
        <v>10/10*</v>
      </c>
      <c r="BZ419" s="174" t="str">
        <f t="shared" si="200"/>
        <v>10/10*</v>
      </c>
      <c r="CA419" s="174" t="str">
        <f t="shared" si="200"/>
        <v>10/10*</v>
      </c>
      <c r="CB419" s="174" t="str">
        <f t="shared" si="200"/>
        <v>10/10*</v>
      </c>
      <c r="CC419" s="174" t="str">
        <f t="shared" si="200"/>
        <v>10/10*</v>
      </c>
      <c r="CD419" s="174" t="str">
        <f t="shared" si="200"/>
        <v>10/10*</v>
      </c>
      <c r="CE419" s="174" t="str">
        <f t="shared" si="200"/>
        <v>10/10*</v>
      </c>
      <c r="CF419" s="174" t="str">
        <f t="shared" si="200"/>
        <v>10/10*</v>
      </c>
      <c r="CG419" s="174" t="str">
        <f t="shared" si="200"/>
        <v>10/10*</v>
      </c>
      <c r="CH419" s="174" t="str">
        <f t="shared" si="200"/>
        <v>10/10*</v>
      </c>
      <c r="CI419" s="174" t="str">
        <f t="shared" si="200"/>
        <v>10/10*</v>
      </c>
      <c r="CJ419" s="174" t="str">
        <f t="shared" si="200"/>
        <v>10/10*</v>
      </c>
      <c r="CK419" s="174" t="str">
        <f t="shared" si="200"/>
        <v>10/10*</v>
      </c>
      <c r="CL419" s="174" t="str">
        <f t="shared" si="200"/>
        <v>10/10*</v>
      </c>
      <c r="CN419" s="174" t="str">
        <f t="shared" si="200"/>
        <v>10/10*</v>
      </c>
      <c r="CO419" s="174" t="str">
        <f t="shared" si="200"/>
        <v>10/10*</v>
      </c>
      <c r="CP419" s="174" t="str">
        <f t="shared" si="200"/>
        <v>10/10*</v>
      </c>
      <c r="CQ419" s="174" t="str">
        <f t="shared" si="200"/>
        <v>10/10*</v>
      </c>
      <c r="CR419" s="190"/>
      <c r="CS419" s="174" t="str">
        <f t="shared" ref="CS419:CV420" si="201">CS38</f>
        <v>100*</v>
      </c>
      <c r="CT419" s="174" t="str">
        <f t="shared" si="201"/>
        <v>80*</v>
      </c>
      <c r="CU419" s="174" t="str">
        <f t="shared" si="201"/>
        <v>50*</v>
      </c>
      <c r="CV419" s="174" t="str">
        <f t="shared" si="201"/>
        <v>60*</v>
      </c>
      <c r="CW419" s="190"/>
      <c r="CX419" s="174" t="str">
        <f t="shared" ref="CX419:DD420" si="202">CX38</f>
        <v>30*</v>
      </c>
      <c r="CY419" s="174" t="str">
        <f t="shared" si="202"/>
        <v>12*</v>
      </c>
      <c r="CZ419" s="174" t="str">
        <f t="shared" si="202"/>
        <v>12*</v>
      </c>
      <c r="DA419" s="174" t="str">
        <f t="shared" si="202"/>
        <v>90</v>
      </c>
      <c r="DB419" s="174" t="str">
        <f t="shared" si="202"/>
        <v>10/10*</v>
      </c>
      <c r="DC419" s="174" t="str">
        <f t="shared" si="202"/>
        <v>10/10*</v>
      </c>
      <c r="DD419" s="174" t="str">
        <f t="shared" si="202"/>
        <v>10/10*</v>
      </c>
      <c r="DF419" s="174">
        <v>8</v>
      </c>
    </row>
    <row r="420" spans="5:110" ht="13.35" customHeight="1" x14ac:dyDescent="0.2">
      <c r="E420" s="182" t="s">
        <v>763</v>
      </c>
      <c r="F420" s="174" t="str">
        <f t="shared" ref="F420:Y420" si="203">F39</f>
        <v>105*</v>
      </c>
      <c r="G420" s="174" t="str">
        <f t="shared" si="203"/>
        <v>100*</v>
      </c>
      <c r="H420" s="174" t="str">
        <f t="shared" si="203"/>
        <v>90*</v>
      </c>
      <c r="I420" s="174" t="str">
        <f t="shared" si="203"/>
        <v>95*</v>
      </c>
      <c r="J420" s="174" t="str">
        <f t="shared" si="203"/>
        <v>80*</v>
      </c>
      <c r="K420" s="174" t="str">
        <f t="shared" si="203"/>
        <v>20*</v>
      </c>
      <c r="L420" s="174" t="str">
        <f t="shared" si="203"/>
        <v>20*</v>
      </c>
      <c r="M420" s="174" t="str">
        <f t="shared" si="203"/>
        <v>20*</v>
      </c>
      <c r="N420" s="174" t="str">
        <f t="shared" si="203"/>
        <v>20*</v>
      </c>
      <c r="O420" s="174" t="str">
        <f t="shared" si="203"/>
        <v>20*</v>
      </c>
      <c r="P420" s="174" t="str">
        <f t="shared" si="203"/>
        <v>20*</v>
      </c>
      <c r="Q420" s="174" t="str">
        <f t="shared" si="203"/>
        <v>25*</v>
      </c>
      <c r="R420" s="174" t="str">
        <f t="shared" si="203"/>
        <v>25*</v>
      </c>
      <c r="S420" s="174" t="str">
        <f t="shared" si="203"/>
        <v>25*</v>
      </c>
      <c r="T420" s="174" t="str">
        <f t="shared" si="203"/>
        <v>45*</v>
      </c>
      <c r="U420" s="174" t="str">
        <f t="shared" si="203"/>
        <v>45*</v>
      </c>
      <c r="V420" s="174" t="str">
        <f t="shared" si="203"/>
        <v>45*</v>
      </c>
      <c r="W420" s="174" t="str">
        <f t="shared" si="203"/>
        <v>45*</v>
      </c>
      <c r="X420" s="174" t="str">
        <f t="shared" si="203"/>
        <v>45*</v>
      </c>
      <c r="Y420" s="174" t="str">
        <f t="shared" si="203"/>
        <v>45*</v>
      </c>
      <c r="AA420" s="174" t="str">
        <f t="shared" si="195"/>
        <v>6/6</v>
      </c>
      <c r="AB420" s="174" t="str">
        <f t="shared" si="195"/>
        <v>6/6</v>
      </c>
      <c r="AC420" s="174" t="str">
        <f t="shared" si="195"/>
        <v>25*</v>
      </c>
      <c r="AD420" s="174" t="str">
        <f t="shared" si="195"/>
        <v>25*</v>
      </c>
      <c r="AF420" s="174" t="str">
        <f t="shared" si="196"/>
        <v>25*</v>
      </c>
      <c r="AG420" s="174" t="str">
        <f t="shared" si="196"/>
        <v>20*</v>
      </c>
      <c r="AH420" s="174" t="str">
        <f t="shared" si="196"/>
        <v>45*</v>
      </c>
      <c r="AJ420" s="174" t="str">
        <f t="shared" si="197"/>
        <v>45*</v>
      </c>
      <c r="AK420" s="174" t="str">
        <f t="shared" si="197"/>
        <v>25*</v>
      </c>
      <c r="AL420" s="174" t="str">
        <f t="shared" si="197"/>
        <v>20*</v>
      </c>
      <c r="AM420" s="174" t="str">
        <f t="shared" si="197"/>
        <v>25*</v>
      </c>
      <c r="AO420" s="174" t="str">
        <f t="shared" si="198"/>
        <v>25*</v>
      </c>
      <c r="AP420" s="174" t="str">
        <f t="shared" si="198"/>
        <v>25*</v>
      </c>
      <c r="AQ420" s="174" t="str">
        <f t="shared" si="198"/>
        <v>45*</v>
      </c>
      <c r="AS420" s="174" t="str">
        <f t="shared" ref="AS420:BX420" si="204">AS39</f>
        <v>20*</v>
      </c>
      <c r="AT420" s="174" t="str">
        <f t="shared" si="204"/>
        <v>20*</v>
      </c>
      <c r="AU420" s="174" t="str">
        <f t="shared" si="204"/>
        <v>20*</v>
      </c>
      <c r="AV420" s="174" t="str">
        <f t="shared" si="204"/>
        <v>20*</v>
      </c>
      <c r="AW420" s="174" t="str">
        <f t="shared" si="204"/>
        <v>20*</v>
      </c>
      <c r="AX420" s="174" t="str">
        <f t="shared" si="204"/>
        <v>20*</v>
      </c>
      <c r="AY420" s="174" t="str">
        <f t="shared" si="204"/>
        <v>20*</v>
      </c>
      <c r="AZ420" s="174" t="str">
        <f t="shared" si="204"/>
        <v>20*</v>
      </c>
      <c r="BA420" s="174" t="str">
        <f t="shared" si="204"/>
        <v>20*</v>
      </c>
      <c r="BB420" s="174" t="str">
        <f t="shared" si="204"/>
        <v>20*</v>
      </c>
      <c r="BC420" s="174" t="str">
        <f t="shared" si="204"/>
        <v>20*</v>
      </c>
      <c r="BD420" s="174" t="str">
        <f t="shared" si="204"/>
        <v>20*</v>
      </c>
      <c r="BE420" s="174" t="str">
        <f t="shared" si="204"/>
        <v>20*</v>
      </c>
      <c r="BF420" s="174" t="str">
        <f t="shared" si="204"/>
        <v>20*</v>
      </c>
      <c r="BG420" s="174" t="str">
        <f t="shared" si="204"/>
        <v>20*</v>
      </c>
      <c r="BH420" s="174" t="str">
        <f t="shared" si="204"/>
        <v>20*</v>
      </c>
      <c r="BI420" s="174" t="str">
        <f t="shared" si="204"/>
        <v>20*</v>
      </c>
      <c r="BJ420" s="174" t="str">
        <f t="shared" si="204"/>
        <v>20*</v>
      </c>
      <c r="BK420" s="174" t="str">
        <f t="shared" si="204"/>
        <v>20*</v>
      </c>
      <c r="BL420" s="174" t="str">
        <f t="shared" si="204"/>
        <v>20*</v>
      </c>
      <c r="BM420" s="174" t="str">
        <f t="shared" si="204"/>
        <v>20*</v>
      </c>
      <c r="BN420" s="174" t="str">
        <f t="shared" si="204"/>
        <v>20*</v>
      </c>
      <c r="BO420" s="174" t="str">
        <f t="shared" si="204"/>
        <v>20*</v>
      </c>
      <c r="BP420" s="174" t="str">
        <f t="shared" si="204"/>
        <v>20*</v>
      </c>
      <c r="BQ420" s="174" t="str">
        <f t="shared" si="204"/>
        <v>20*</v>
      </c>
      <c r="BR420" s="174" t="str">
        <f t="shared" si="204"/>
        <v>20*</v>
      </c>
      <c r="BS420" s="174" t="str">
        <f t="shared" si="204"/>
        <v>20*</v>
      </c>
      <c r="BT420" s="174" t="str">
        <f t="shared" si="204"/>
        <v>20*</v>
      </c>
      <c r="BU420" s="174" t="str">
        <f t="shared" si="204"/>
        <v>20*</v>
      </c>
      <c r="BV420" s="174" t="str">
        <f t="shared" si="204"/>
        <v>20*</v>
      </c>
      <c r="BW420" s="174" t="str">
        <f t="shared" si="204"/>
        <v>20*</v>
      </c>
      <c r="BX420" s="174" t="str">
        <f t="shared" si="204"/>
        <v>20*</v>
      </c>
      <c r="BY420" s="174" t="str">
        <f t="shared" ref="BY420:CQ420" si="205">BY39</f>
        <v>20*</v>
      </c>
      <c r="BZ420" s="174" t="str">
        <f t="shared" si="205"/>
        <v>20*</v>
      </c>
      <c r="CA420" s="174" t="str">
        <f t="shared" si="205"/>
        <v>20*</v>
      </c>
      <c r="CB420" s="174" t="str">
        <f t="shared" si="205"/>
        <v>20*</v>
      </c>
      <c r="CC420" s="174" t="str">
        <f t="shared" si="205"/>
        <v>20*</v>
      </c>
      <c r="CD420" s="174" t="str">
        <f t="shared" si="205"/>
        <v>20*</v>
      </c>
      <c r="CE420" s="174" t="str">
        <f t="shared" si="205"/>
        <v>20*</v>
      </c>
      <c r="CF420" s="174" t="str">
        <f t="shared" si="205"/>
        <v>20*</v>
      </c>
      <c r="CG420" s="174" t="str">
        <f t="shared" si="205"/>
        <v>20*</v>
      </c>
      <c r="CH420" s="174" t="str">
        <f t="shared" si="205"/>
        <v>20*</v>
      </c>
      <c r="CI420" s="174" t="str">
        <f t="shared" si="205"/>
        <v>20*</v>
      </c>
      <c r="CJ420" s="174" t="str">
        <f t="shared" si="205"/>
        <v>20*</v>
      </c>
      <c r="CK420" s="174" t="str">
        <f t="shared" si="205"/>
        <v>20*</v>
      </c>
      <c r="CL420" s="174" t="str">
        <f t="shared" si="205"/>
        <v>20*</v>
      </c>
      <c r="CN420" s="174" t="str">
        <f t="shared" si="205"/>
        <v>20*</v>
      </c>
      <c r="CO420" s="174" t="str">
        <f t="shared" si="205"/>
        <v>20*</v>
      </c>
      <c r="CP420" s="174" t="str">
        <f t="shared" si="205"/>
        <v>20*</v>
      </c>
      <c r="CQ420" s="174" t="str">
        <f t="shared" si="205"/>
        <v>20*</v>
      </c>
      <c r="CS420" s="174" t="str">
        <f t="shared" si="201"/>
        <v>110*</v>
      </c>
      <c r="CT420" s="174" t="str">
        <f t="shared" si="201"/>
        <v>100*</v>
      </c>
      <c r="CU420" s="174" t="str">
        <f t="shared" si="201"/>
        <v>85*</v>
      </c>
      <c r="CV420" s="174" t="str">
        <f t="shared" si="201"/>
        <v>90*</v>
      </c>
      <c r="CX420" s="174" t="str">
        <f t="shared" si="202"/>
        <v>45*</v>
      </c>
      <c r="CY420" s="174" t="str">
        <f t="shared" si="202"/>
        <v>25*</v>
      </c>
      <c r="CZ420" s="174" t="str">
        <f t="shared" si="202"/>
        <v>25*</v>
      </c>
      <c r="DA420" s="174" t="str">
        <f t="shared" si="202"/>
        <v>105</v>
      </c>
      <c r="DB420" s="174" t="str">
        <f t="shared" si="202"/>
        <v>20*</v>
      </c>
      <c r="DC420" s="174" t="str">
        <f t="shared" si="202"/>
        <v>20*</v>
      </c>
      <c r="DD420" s="174" t="str">
        <f t="shared" si="202"/>
        <v>20*</v>
      </c>
      <c r="DF420" s="174">
        <v>9</v>
      </c>
    </row>
    <row r="421" spans="5:110" ht="13.35" customHeight="1" x14ac:dyDescent="0.2">
      <c r="E421" s="182" t="s">
        <v>764</v>
      </c>
      <c r="F421" s="174" t="str">
        <f t="shared" ref="F421:Y421" si="206">F37</f>
        <v>120*</v>
      </c>
      <c r="G421" s="174" t="str">
        <f t="shared" si="206"/>
        <v>120*</v>
      </c>
      <c r="H421" s="174" t="str">
        <f t="shared" si="206"/>
        <v>120*</v>
      </c>
      <c r="I421" s="174" t="str">
        <f t="shared" si="206"/>
        <v>120*</v>
      </c>
      <c r="J421" s="174" t="str">
        <f t="shared" si="206"/>
        <v>120*</v>
      </c>
      <c r="K421" s="174" t="str">
        <f t="shared" si="206"/>
        <v>50*</v>
      </c>
      <c r="L421" s="174" t="str">
        <f t="shared" si="206"/>
        <v>50*</v>
      </c>
      <c r="M421" s="174" t="str">
        <f t="shared" si="206"/>
        <v>50*</v>
      </c>
      <c r="N421" s="174" t="str">
        <f t="shared" si="206"/>
        <v>50*</v>
      </c>
      <c r="O421" s="174" t="str">
        <f t="shared" si="206"/>
        <v>50*</v>
      </c>
      <c r="P421" s="174" t="str">
        <f t="shared" si="206"/>
        <v>50*</v>
      </c>
      <c r="Q421" s="174" t="str">
        <f t="shared" si="206"/>
        <v>60*</v>
      </c>
      <c r="R421" s="174" t="str">
        <f t="shared" si="206"/>
        <v>60*</v>
      </c>
      <c r="S421" s="174" t="str">
        <f t="shared" si="206"/>
        <v>60*</v>
      </c>
      <c r="T421" s="174" t="str">
        <f t="shared" si="206"/>
        <v>80*</v>
      </c>
      <c r="U421" s="174" t="str">
        <f t="shared" si="206"/>
        <v>80*</v>
      </c>
      <c r="V421" s="174" t="str">
        <f t="shared" si="206"/>
        <v>80*</v>
      </c>
      <c r="W421" s="174" t="str">
        <f t="shared" si="206"/>
        <v>80*</v>
      </c>
      <c r="X421" s="174" t="str">
        <f t="shared" si="206"/>
        <v>80*</v>
      </c>
      <c r="Y421" s="174" t="str">
        <f t="shared" si="206"/>
        <v>80*</v>
      </c>
      <c r="AA421" s="174" t="str">
        <f>AA37</f>
        <v>10/10</v>
      </c>
      <c r="AB421" s="174" t="str">
        <f>AB37</f>
        <v>10/10</v>
      </c>
      <c r="AC421" s="174" t="str">
        <f>AC37</f>
        <v>60*</v>
      </c>
      <c r="AD421" s="174" t="str">
        <f>AD37</f>
        <v>60*</v>
      </c>
      <c r="AF421" s="174" t="str">
        <f>AF37</f>
        <v>60*</v>
      </c>
      <c r="AG421" s="174" t="str">
        <f>AG37</f>
        <v>50*</v>
      </c>
      <c r="AH421" s="174" t="str">
        <f>AH37</f>
        <v>80*</v>
      </c>
      <c r="AJ421" s="174" t="str">
        <f>AJ37</f>
        <v>80*</v>
      </c>
      <c r="AK421" s="174" t="str">
        <f>AK37</f>
        <v>60*</v>
      </c>
      <c r="AL421" s="174" t="str">
        <f>AL37</f>
        <v>50*</v>
      </c>
      <c r="AM421" s="174" t="str">
        <f>AM37</f>
        <v>60*</v>
      </c>
      <c r="AO421" s="174" t="str">
        <f>AO37</f>
        <v>60*</v>
      </c>
      <c r="AP421" s="174" t="str">
        <f>AP37</f>
        <v>60*</v>
      </c>
      <c r="AQ421" s="174" t="str">
        <f>AQ37</f>
        <v>80*</v>
      </c>
      <c r="AS421" s="174" t="str">
        <f t="shared" ref="AS421:BX421" si="207">AS37</f>
        <v>50*</v>
      </c>
      <c r="AT421" s="174" t="str">
        <f t="shared" si="207"/>
        <v>50*</v>
      </c>
      <c r="AU421" s="174" t="str">
        <f t="shared" si="207"/>
        <v>50*</v>
      </c>
      <c r="AV421" s="174" t="str">
        <f t="shared" si="207"/>
        <v>50*</v>
      </c>
      <c r="AW421" s="174" t="str">
        <f t="shared" si="207"/>
        <v>50*</v>
      </c>
      <c r="AX421" s="174" t="str">
        <f t="shared" si="207"/>
        <v>50*</v>
      </c>
      <c r="AY421" s="174" t="str">
        <f t="shared" si="207"/>
        <v>50*</v>
      </c>
      <c r="AZ421" s="174" t="str">
        <f t="shared" si="207"/>
        <v>50*</v>
      </c>
      <c r="BA421" s="174" t="str">
        <f t="shared" si="207"/>
        <v>50*</v>
      </c>
      <c r="BB421" s="174" t="str">
        <f t="shared" si="207"/>
        <v>50*</v>
      </c>
      <c r="BC421" s="174" t="str">
        <f t="shared" si="207"/>
        <v>50*</v>
      </c>
      <c r="BD421" s="174" t="str">
        <f t="shared" si="207"/>
        <v>50*</v>
      </c>
      <c r="BE421" s="174" t="str">
        <f t="shared" si="207"/>
        <v>50*</v>
      </c>
      <c r="BF421" s="174" t="str">
        <f t="shared" si="207"/>
        <v>50*</v>
      </c>
      <c r="BG421" s="174" t="str">
        <f t="shared" si="207"/>
        <v>50*</v>
      </c>
      <c r="BH421" s="174" t="str">
        <f t="shared" si="207"/>
        <v>50*</v>
      </c>
      <c r="BI421" s="174" t="str">
        <f t="shared" si="207"/>
        <v>50*</v>
      </c>
      <c r="BJ421" s="174" t="str">
        <f t="shared" si="207"/>
        <v>50*</v>
      </c>
      <c r="BK421" s="174" t="str">
        <f t="shared" si="207"/>
        <v>50*</v>
      </c>
      <c r="BL421" s="174" t="str">
        <f t="shared" si="207"/>
        <v>50*</v>
      </c>
      <c r="BM421" s="174" t="str">
        <f t="shared" si="207"/>
        <v>50*</v>
      </c>
      <c r="BN421" s="174" t="str">
        <f t="shared" si="207"/>
        <v>50*</v>
      </c>
      <c r="BO421" s="174" t="str">
        <f t="shared" si="207"/>
        <v>50*</v>
      </c>
      <c r="BP421" s="174" t="str">
        <f t="shared" si="207"/>
        <v>50*</v>
      </c>
      <c r="BQ421" s="174" t="str">
        <f t="shared" si="207"/>
        <v>50*</v>
      </c>
      <c r="BR421" s="174" t="str">
        <f t="shared" si="207"/>
        <v>50*</v>
      </c>
      <c r="BS421" s="174" t="str">
        <f t="shared" si="207"/>
        <v>50*</v>
      </c>
      <c r="BT421" s="174" t="str">
        <f t="shared" si="207"/>
        <v>50*</v>
      </c>
      <c r="BU421" s="174" t="str">
        <f t="shared" si="207"/>
        <v>50*</v>
      </c>
      <c r="BV421" s="174" t="str">
        <f t="shared" si="207"/>
        <v>50*</v>
      </c>
      <c r="BW421" s="174" t="str">
        <f t="shared" si="207"/>
        <v>50*</v>
      </c>
      <c r="BX421" s="174" t="str">
        <f t="shared" si="207"/>
        <v>50*</v>
      </c>
      <c r="BY421" s="174" t="str">
        <f t="shared" ref="BY421:CQ421" si="208">BY37</f>
        <v>50*</v>
      </c>
      <c r="BZ421" s="174" t="str">
        <f t="shared" si="208"/>
        <v>50*</v>
      </c>
      <c r="CA421" s="174" t="str">
        <f t="shared" si="208"/>
        <v>50*</v>
      </c>
      <c r="CB421" s="174" t="str">
        <f t="shared" si="208"/>
        <v>50*</v>
      </c>
      <c r="CC421" s="174" t="str">
        <f t="shared" si="208"/>
        <v>50*</v>
      </c>
      <c r="CD421" s="174" t="str">
        <f t="shared" si="208"/>
        <v>50*</v>
      </c>
      <c r="CE421" s="174" t="str">
        <f t="shared" si="208"/>
        <v>50*</v>
      </c>
      <c r="CF421" s="174" t="str">
        <f t="shared" si="208"/>
        <v>50*</v>
      </c>
      <c r="CG421" s="174" t="str">
        <f t="shared" si="208"/>
        <v>50*</v>
      </c>
      <c r="CH421" s="174" t="str">
        <f t="shared" si="208"/>
        <v>50*</v>
      </c>
      <c r="CI421" s="174" t="str">
        <f t="shared" si="208"/>
        <v>50*</v>
      </c>
      <c r="CJ421" s="174" t="str">
        <f t="shared" si="208"/>
        <v>50*</v>
      </c>
      <c r="CK421" s="174" t="str">
        <f t="shared" si="208"/>
        <v>50*</v>
      </c>
      <c r="CL421" s="174" t="str">
        <f t="shared" si="208"/>
        <v>50*</v>
      </c>
      <c r="CN421" s="174" t="str">
        <f t="shared" si="208"/>
        <v>50*</v>
      </c>
      <c r="CO421" s="174" t="str">
        <f t="shared" si="208"/>
        <v>50*</v>
      </c>
      <c r="CP421" s="174" t="str">
        <f t="shared" si="208"/>
        <v>50*</v>
      </c>
      <c r="CQ421" s="174" t="str">
        <f t="shared" si="208"/>
        <v>50*</v>
      </c>
      <c r="CS421" s="174" t="str">
        <f>CS37</f>
        <v>120*</v>
      </c>
      <c r="CT421" s="174" t="str">
        <f>CT37</f>
        <v>120*</v>
      </c>
      <c r="CU421" s="174" t="str">
        <f>CU37</f>
        <v>110*</v>
      </c>
      <c r="CV421" s="174" t="str">
        <f>CV37</f>
        <v>120*</v>
      </c>
      <c r="CX421" s="174" t="str">
        <f t="shared" ref="CX421:DD421" si="209">CX37</f>
        <v>80*</v>
      </c>
      <c r="CY421" s="174" t="str">
        <f t="shared" si="209"/>
        <v>60*</v>
      </c>
      <c r="CZ421" s="174" t="str">
        <f t="shared" si="209"/>
        <v>60*</v>
      </c>
      <c r="DA421" s="174" t="str">
        <f t="shared" si="209"/>
        <v>120</v>
      </c>
      <c r="DB421" s="174" t="str">
        <f t="shared" si="209"/>
        <v>50*</v>
      </c>
      <c r="DC421" s="174" t="str">
        <f t="shared" si="209"/>
        <v>50*</v>
      </c>
      <c r="DD421" s="174" t="str">
        <f t="shared" si="209"/>
        <v>50*</v>
      </c>
      <c r="DF421" s="174">
        <v>10</v>
      </c>
    </row>
    <row r="428" spans="5:110" ht="13.35" customHeight="1" x14ac:dyDescent="0.2">
      <c r="E428" s="182" t="s">
        <v>755</v>
      </c>
      <c r="K428" s="174">
        <v>5</v>
      </c>
      <c r="L428" s="174">
        <v>5</v>
      </c>
      <c r="M428" s="174">
        <v>5</v>
      </c>
      <c r="N428" s="174">
        <v>5</v>
      </c>
      <c r="O428" s="174">
        <v>5</v>
      </c>
      <c r="P428" s="174">
        <v>5</v>
      </c>
      <c r="Q428" s="174">
        <v>5</v>
      </c>
      <c r="R428" s="174">
        <v>5</v>
      </c>
      <c r="S428" s="174">
        <v>5</v>
      </c>
      <c r="AA428" s="174">
        <v>5</v>
      </c>
      <c r="AB428" s="174">
        <v>5</v>
      </c>
      <c r="AD428" s="174">
        <v>5</v>
      </c>
      <c r="AF428" s="174">
        <v>5</v>
      </c>
      <c r="AG428" s="174">
        <v>5</v>
      </c>
      <c r="AK428" s="174">
        <v>5</v>
      </c>
      <c r="AL428" s="174">
        <v>5</v>
      </c>
      <c r="AM428" s="174">
        <v>5</v>
      </c>
      <c r="AO428" s="174">
        <v>5</v>
      </c>
      <c r="AP428" s="174">
        <v>5</v>
      </c>
      <c r="AS428" s="174">
        <v>5</v>
      </c>
      <c r="AT428" s="174">
        <v>5</v>
      </c>
      <c r="AU428" s="174">
        <v>5</v>
      </c>
      <c r="AV428" s="174">
        <v>5</v>
      </c>
      <c r="AW428" s="174">
        <v>5</v>
      </c>
      <c r="AX428" s="174">
        <v>5</v>
      </c>
      <c r="AY428" s="174">
        <v>5</v>
      </c>
      <c r="AZ428" s="174">
        <v>5</v>
      </c>
      <c r="BA428" s="174">
        <v>5</v>
      </c>
      <c r="BB428" s="174">
        <v>5</v>
      </c>
      <c r="BC428" s="174">
        <v>10</v>
      </c>
      <c r="BD428" s="174">
        <v>10</v>
      </c>
      <c r="BE428" s="174">
        <v>10</v>
      </c>
      <c r="BF428" s="174">
        <v>5</v>
      </c>
      <c r="BG428" s="174">
        <v>10</v>
      </c>
      <c r="BH428" s="174">
        <v>5</v>
      </c>
      <c r="BI428" s="174">
        <v>5</v>
      </c>
      <c r="BJ428" s="174">
        <v>5</v>
      </c>
      <c r="BK428" s="174">
        <v>5</v>
      </c>
      <c r="BL428" s="174">
        <v>5</v>
      </c>
      <c r="BM428" s="174">
        <v>5</v>
      </c>
      <c r="BN428" s="174">
        <v>5</v>
      </c>
      <c r="BO428" s="174">
        <v>5</v>
      </c>
      <c r="BP428" s="174">
        <v>5</v>
      </c>
      <c r="BQ428" s="174">
        <v>5</v>
      </c>
      <c r="BR428" s="174">
        <v>10</v>
      </c>
      <c r="BS428" s="174">
        <v>10</v>
      </c>
      <c r="BT428" s="174">
        <v>10</v>
      </c>
      <c r="BU428" s="174">
        <v>5</v>
      </c>
      <c r="BV428" s="174">
        <v>5</v>
      </c>
      <c r="BX428" s="174">
        <v>5</v>
      </c>
      <c r="BY428" s="174">
        <v>5</v>
      </c>
      <c r="BZ428" s="174">
        <v>5</v>
      </c>
      <c r="CA428" s="174">
        <v>5</v>
      </c>
      <c r="CB428" s="174">
        <v>5</v>
      </c>
      <c r="CC428" s="174">
        <v>5</v>
      </c>
      <c r="CD428" s="174">
        <v>5</v>
      </c>
      <c r="CE428" s="174">
        <v>10</v>
      </c>
      <c r="CF428" s="174">
        <v>5</v>
      </c>
      <c r="CG428" s="174">
        <v>5</v>
      </c>
      <c r="CH428" s="174">
        <v>5</v>
      </c>
      <c r="CI428" s="174">
        <v>5</v>
      </c>
      <c r="CJ428" s="174">
        <v>5</v>
      </c>
      <c r="CK428" s="174">
        <v>5</v>
      </c>
      <c r="CL428" s="174">
        <v>5</v>
      </c>
      <c r="CN428" s="174">
        <v>5</v>
      </c>
      <c r="CO428" s="174">
        <v>5</v>
      </c>
      <c r="CP428" s="174">
        <v>5</v>
      </c>
      <c r="CQ428" s="174">
        <v>5</v>
      </c>
      <c r="CX428" s="174">
        <v>5</v>
      </c>
      <c r="CY428" s="174">
        <v>5</v>
      </c>
      <c r="CZ428" s="174">
        <v>5</v>
      </c>
      <c r="DB428" s="174">
        <v>5</v>
      </c>
      <c r="DC428" s="174">
        <v>5</v>
      </c>
      <c r="DD428" s="174">
        <v>5</v>
      </c>
      <c r="DF428" s="174">
        <v>1</v>
      </c>
    </row>
    <row r="429" spans="5:110" ht="13.35" customHeight="1" x14ac:dyDescent="0.2">
      <c r="E429" s="182" t="s">
        <v>3487</v>
      </c>
      <c r="K429" s="174">
        <v>5</v>
      </c>
      <c r="L429" s="174">
        <v>5</v>
      </c>
      <c r="M429" s="174">
        <v>5</v>
      </c>
      <c r="N429" s="174">
        <v>5</v>
      </c>
      <c r="O429" s="174">
        <v>5</v>
      </c>
      <c r="P429" s="174">
        <v>5</v>
      </c>
      <c r="Q429" s="174">
        <v>5</v>
      </c>
      <c r="R429" s="174">
        <v>5</v>
      </c>
      <c r="S429" s="174">
        <v>5</v>
      </c>
      <c r="AA429" s="174">
        <v>5</v>
      </c>
      <c r="AB429" s="174">
        <v>5</v>
      </c>
      <c r="AD429" s="174">
        <v>5</v>
      </c>
      <c r="AF429" s="174">
        <v>5</v>
      </c>
      <c r="AG429" s="174">
        <v>5</v>
      </c>
      <c r="AK429" s="174">
        <v>5</v>
      </c>
      <c r="AL429" s="174">
        <v>5</v>
      </c>
      <c r="AM429" s="174">
        <v>5</v>
      </c>
      <c r="AO429" s="174">
        <v>5</v>
      </c>
      <c r="AP429" s="174">
        <v>5</v>
      </c>
      <c r="AS429" s="174">
        <v>5</v>
      </c>
      <c r="AT429" s="174">
        <v>5</v>
      </c>
      <c r="AU429" s="174">
        <v>5</v>
      </c>
      <c r="AV429" s="174">
        <v>5</v>
      </c>
      <c r="AW429" s="174">
        <v>5</v>
      </c>
      <c r="AX429" s="174">
        <v>5</v>
      </c>
      <c r="AY429" s="174">
        <v>5</v>
      </c>
      <c r="AZ429" s="174">
        <v>5</v>
      </c>
      <c r="BA429" s="174">
        <v>5</v>
      </c>
      <c r="BB429" s="174">
        <v>5</v>
      </c>
      <c r="BC429" s="174">
        <v>10</v>
      </c>
      <c r="BD429" s="174">
        <v>10</v>
      </c>
      <c r="BE429" s="174">
        <v>10</v>
      </c>
      <c r="BF429" s="174">
        <v>5</v>
      </c>
      <c r="BG429" s="174">
        <v>10</v>
      </c>
      <c r="BH429" s="174">
        <v>5</v>
      </c>
      <c r="BI429" s="174">
        <v>5</v>
      </c>
      <c r="BJ429" s="174">
        <v>5</v>
      </c>
      <c r="BK429" s="174">
        <v>5</v>
      </c>
      <c r="BL429" s="174">
        <v>5</v>
      </c>
      <c r="BM429" s="174">
        <v>5</v>
      </c>
      <c r="BN429" s="174">
        <v>5</v>
      </c>
      <c r="BO429" s="174">
        <v>5</v>
      </c>
      <c r="BP429" s="174">
        <v>5</v>
      </c>
      <c r="BQ429" s="174">
        <v>5</v>
      </c>
      <c r="BR429" s="174">
        <v>10</v>
      </c>
      <c r="BS429" s="174">
        <v>10</v>
      </c>
      <c r="BT429" s="174">
        <v>10</v>
      </c>
      <c r="BU429" s="174">
        <v>5</v>
      </c>
      <c r="BV429" s="174">
        <v>5</v>
      </c>
      <c r="BX429" s="174">
        <v>5</v>
      </c>
      <c r="BY429" s="174">
        <v>5</v>
      </c>
      <c r="BZ429" s="174">
        <v>5</v>
      </c>
      <c r="CA429" s="174">
        <v>5</v>
      </c>
      <c r="CB429" s="174">
        <v>5</v>
      </c>
      <c r="CC429" s="174">
        <v>5</v>
      </c>
      <c r="CD429" s="174">
        <v>5</v>
      </c>
      <c r="CE429" s="174">
        <v>10</v>
      </c>
      <c r="CF429" s="174">
        <v>5</v>
      </c>
      <c r="CG429" s="174">
        <v>5</v>
      </c>
      <c r="CH429" s="174">
        <v>5</v>
      </c>
      <c r="CI429" s="174">
        <v>5</v>
      </c>
      <c r="CJ429" s="174">
        <v>5</v>
      </c>
      <c r="CK429" s="174">
        <v>5</v>
      </c>
      <c r="CL429" s="174">
        <v>5</v>
      </c>
      <c r="CN429" s="174">
        <v>5</v>
      </c>
      <c r="CO429" s="174">
        <v>5</v>
      </c>
      <c r="CP429" s="174">
        <v>5</v>
      </c>
      <c r="CQ429" s="174">
        <v>5</v>
      </c>
      <c r="CX429" s="174">
        <v>5</v>
      </c>
      <c r="CY429" s="174">
        <v>5</v>
      </c>
      <c r="CZ429" s="174">
        <v>5</v>
      </c>
      <c r="DB429" s="174">
        <v>5</v>
      </c>
      <c r="DC429" s="174">
        <v>5</v>
      </c>
      <c r="DD429" s="174">
        <v>5</v>
      </c>
      <c r="DF429" s="174">
        <v>2</v>
      </c>
    </row>
    <row r="430" spans="5:110" ht="13.35" customHeight="1" x14ac:dyDescent="0.2">
      <c r="E430" s="182" t="s">
        <v>3492</v>
      </c>
      <c r="K430" s="174">
        <v>5</v>
      </c>
      <c r="L430" s="174">
        <v>5</v>
      </c>
      <c r="M430" s="174">
        <v>5</v>
      </c>
      <c r="N430" s="174">
        <v>5</v>
      </c>
      <c r="O430" s="174">
        <v>5</v>
      </c>
      <c r="P430" s="174">
        <v>5</v>
      </c>
      <c r="Q430" s="174">
        <v>5</v>
      </c>
      <c r="R430" s="174">
        <v>5</v>
      </c>
      <c r="S430" s="174">
        <v>5</v>
      </c>
      <c r="AA430" s="174">
        <v>5</v>
      </c>
      <c r="AB430" s="174">
        <v>5</v>
      </c>
      <c r="AD430" s="174">
        <v>5</v>
      </c>
      <c r="AF430" s="174">
        <v>5</v>
      </c>
      <c r="AG430" s="174">
        <v>5</v>
      </c>
      <c r="AK430" s="174">
        <v>5</v>
      </c>
      <c r="AL430" s="174">
        <v>5</v>
      </c>
      <c r="AM430" s="174">
        <v>5</v>
      </c>
      <c r="AO430" s="174">
        <v>5</v>
      </c>
      <c r="AP430" s="174">
        <v>5</v>
      </c>
      <c r="AS430" s="174">
        <v>5</v>
      </c>
      <c r="AT430" s="174">
        <v>5</v>
      </c>
      <c r="AU430" s="174">
        <v>5</v>
      </c>
      <c r="AV430" s="174">
        <v>5</v>
      </c>
      <c r="AW430" s="174">
        <v>5</v>
      </c>
      <c r="AX430" s="174">
        <v>5</v>
      </c>
      <c r="AY430" s="174">
        <v>5</v>
      </c>
      <c r="AZ430" s="174">
        <v>5</v>
      </c>
      <c r="BA430" s="174">
        <v>5</v>
      </c>
      <c r="BB430" s="174">
        <v>5</v>
      </c>
      <c r="BC430" s="174">
        <v>10</v>
      </c>
      <c r="BD430" s="174">
        <v>10</v>
      </c>
      <c r="BE430" s="174">
        <v>10</v>
      </c>
      <c r="BF430" s="174">
        <v>5</v>
      </c>
      <c r="BG430" s="174">
        <v>10</v>
      </c>
      <c r="BH430" s="174">
        <v>5</v>
      </c>
      <c r="BI430" s="174">
        <v>5</v>
      </c>
      <c r="BJ430" s="174">
        <v>5</v>
      </c>
      <c r="BK430" s="174">
        <v>5</v>
      </c>
      <c r="BL430" s="174">
        <v>5</v>
      </c>
      <c r="BM430" s="174">
        <v>5</v>
      </c>
      <c r="BN430" s="174">
        <v>5</v>
      </c>
      <c r="BO430" s="174">
        <v>5</v>
      </c>
      <c r="BP430" s="174">
        <v>5</v>
      </c>
      <c r="BQ430" s="174">
        <v>5</v>
      </c>
      <c r="BR430" s="174">
        <v>10</v>
      </c>
      <c r="BS430" s="174">
        <v>10</v>
      </c>
      <c r="BT430" s="174">
        <v>10</v>
      </c>
      <c r="BU430" s="174">
        <v>5</v>
      </c>
      <c r="BV430" s="174">
        <v>5</v>
      </c>
      <c r="BX430" s="174">
        <v>5</v>
      </c>
      <c r="BY430" s="174">
        <v>5</v>
      </c>
      <c r="BZ430" s="174">
        <v>5</v>
      </c>
      <c r="CA430" s="174">
        <v>5</v>
      </c>
      <c r="CB430" s="174">
        <v>5</v>
      </c>
      <c r="CC430" s="174">
        <v>5</v>
      </c>
      <c r="CD430" s="174">
        <v>5</v>
      </c>
      <c r="CE430" s="174">
        <v>10</v>
      </c>
      <c r="CF430" s="174">
        <v>5</v>
      </c>
      <c r="CG430" s="174">
        <v>5</v>
      </c>
      <c r="CH430" s="174">
        <v>5</v>
      </c>
      <c r="CI430" s="174">
        <v>5</v>
      </c>
      <c r="CJ430" s="174">
        <v>5</v>
      </c>
      <c r="CK430" s="174">
        <v>5</v>
      </c>
      <c r="CL430" s="174">
        <v>5</v>
      </c>
      <c r="CN430" s="174">
        <v>5</v>
      </c>
      <c r="CO430" s="174">
        <v>5</v>
      </c>
      <c r="CP430" s="174">
        <v>5</v>
      </c>
      <c r="CQ430" s="174">
        <v>5</v>
      </c>
      <c r="CX430" s="174">
        <v>5</v>
      </c>
      <c r="CY430" s="174">
        <v>5</v>
      </c>
      <c r="CZ430" s="174">
        <v>5</v>
      </c>
      <c r="DB430" s="174">
        <v>5</v>
      </c>
      <c r="DC430" s="174">
        <v>5</v>
      </c>
      <c r="DD430" s="174">
        <v>5</v>
      </c>
      <c r="DF430" s="174">
        <v>3</v>
      </c>
    </row>
    <row r="431" spans="5:110" ht="13.35" customHeight="1" x14ac:dyDescent="0.2">
      <c r="E431" s="182" t="s">
        <v>758</v>
      </c>
      <c r="K431" s="174">
        <v>5</v>
      </c>
      <c r="L431" s="174">
        <v>5</v>
      </c>
      <c r="M431" s="174">
        <v>5</v>
      </c>
      <c r="N431" s="174">
        <v>5</v>
      </c>
      <c r="O431" s="174">
        <v>5</v>
      </c>
      <c r="P431" s="174">
        <v>5</v>
      </c>
      <c r="Q431" s="174">
        <v>5</v>
      </c>
      <c r="R431" s="174">
        <v>5</v>
      </c>
      <c r="S431" s="174">
        <v>5</v>
      </c>
      <c r="AA431" s="174">
        <v>5</v>
      </c>
      <c r="AB431" s="174">
        <v>5</v>
      </c>
      <c r="AD431" s="174">
        <v>5</v>
      </c>
      <c r="AF431" s="174">
        <v>5</v>
      </c>
      <c r="AG431" s="174">
        <v>5</v>
      </c>
      <c r="AK431" s="174">
        <v>5</v>
      </c>
      <c r="AL431" s="174">
        <v>5</v>
      </c>
      <c r="AM431" s="174">
        <v>5</v>
      </c>
      <c r="AO431" s="174">
        <v>5</v>
      </c>
      <c r="AP431" s="174">
        <v>5</v>
      </c>
      <c r="AS431" s="174">
        <v>5</v>
      </c>
      <c r="AT431" s="174">
        <v>5</v>
      </c>
      <c r="AU431" s="174">
        <v>5</v>
      </c>
      <c r="AV431" s="174">
        <v>5</v>
      </c>
      <c r="AW431" s="174">
        <v>5</v>
      </c>
      <c r="AX431" s="174">
        <v>5</v>
      </c>
      <c r="AY431" s="174">
        <v>5</v>
      </c>
      <c r="AZ431" s="174">
        <v>5</v>
      </c>
      <c r="BA431" s="174">
        <v>5</v>
      </c>
      <c r="BB431" s="174">
        <v>5</v>
      </c>
      <c r="BC431" s="174">
        <v>10</v>
      </c>
      <c r="BD431" s="174">
        <v>10</v>
      </c>
      <c r="BE431" s="174">
        <v>10</v>
      </c>
      <c r="BF431" s="174">
        <v>5</v>
      </c>
      <c r="BG431" s="174">
        <v>10</v>
      </c>
      <c r="BH431" s="174">
        <v>5</v>
      </c>
      <c r="BI431" s="174">
        <v>5</v>
      </c>
      <c r="BJ431" s="174">
        <v>5</v>
      </c>
      <c r="BK431" s="174">
        <v>5</v>
      </c>
      <c r="BL431" s="174">
        <v>5</v>
      </c>
      <c r="BM431" s="174">
        <v>5</v>
      </c>
      <c r="BN431" s="174">
        <v>5</v>
      </c>
      <c r="BO431" s="174">
        <v>5</v>
      </c>
      <c r="BP431" s="174">
        <v>5</v>
      </c>
      <c r="BQ431" s="174">
        <v>5</v>
      </c>
      <c r="BR431" s="174">
        <v>10</v>
      </c>
      <c r="BS431" s="174">
        <v>10</v>
      </c>
      <c r="BT431" s="174">
        <v>10</v>
      </c>
      <c r="BU431" s="174">
        <v>5</v>
      </c>
      <c r="BV431" s="174">
        <v>5</v>
      </c>
      <c r="BX431" s="174">
        <v>5</v>
      </c>
      <c r="BY431" s="174">
        <v>5</v>
      </c>
      <c r="BZ431" s="174">
        <v>5</v>
      </c>
      <c r="CA431" s="174">
        <v>5</v>
      </c>
      <c r="CB431" s="174">
        <v>5</v>
      </c>
      <c r="CC431" s="174">
        <v>5</v>
      </c>
      <c r="CD431" s="174">
        <v>5</v>
      </c>
      <c r="CE431" s="174">
        <v>10</v>
      </c>
      <c r="CF431" s="174">
        <v>5</v>
      </c>
      <c r="CG431" s="174">
        <v>5</v>
      </c>
      <c r="CH431" s="174">
        <v>5</v>
      </c>
      <c r="CI431" s="174">
        <v>5</v>
      </c>
      <c r="CJ431" s="174">
        <v>5</v>
      </c>
      <c r="CK431" s="174">
        <v>5</v>
      </c>
      <c r="CL431" s="174">
        <v>5</v>
      </c>
      <c r="CN431" s="174">
        <v>5</v>
      </c>
      <c r="CO431" s="174">
        <v>5</v>
      </c>
      <c r="CP431" s="174">
        <v>5</v>
      </c>
      <c r="CQ431" s="174">
        <v>5</v>
      </c>
      <c r="CX431" s="174">
        <v>5</v>
      </c>
      <c r="CY431" s="174">
        <v>5</v>
      </c>
      <c r="CZ431" s="174">
        <v>5</v>
      </c>
      <c r="DB431" s="174">
        <v>5</v>
      </c>
      <c r="DC431" s="174">
        <v>5</v>
      </c>
      <c r="DD431" s="174">
        <v>5</v>
      </c>
      <c r="DF431" s="174">
        <v>4</v>
      </c>
    </row>
    <row r="432" spans="5:110" ht="13.35" customHeight="1" x14ac:dyDescent="0.2">
      <c r="E432" s="182" t="s">
        <v>760</v>
      </c>
      <c r="K432" s="174">
        <v>5</v>
      </c>
      <c r="L432" s="174">
        <v>5</v>
      </c>
      <c r="M432" s="174">
        <v>5</v>
      </c>
      <c r="N432" s="174">
        <v>5</v>
      </c>
      <c r="O432" s="174">
        <v>5</v>
      </c>
      <c r="P432" s="174">
        <v>5</v>
      </c>
      <c r="Q432" s="174">
        <v>5</v>
      </c>
      <c r="R432" s="174">
        <v>5</v>
      </c>
      <c r="S432" s="174">
        <v>5</v>
      </c>
      <c r="AA432" s="174">
        <v>5</v>
      </c>
      <c r="AB432" s="174">
        <v>5</v>
      </c>
      <c r="AD432" s="174">
        <v>5</v>
      </c>
      <c r="AF432" s="174">
        <v>5</v>
      </c>
      <c r="AG432" s="174">
        <v>5</v>
      </c>
      <c r="AK432" s="174">
        <v>5</v>
      </c>
      <c r="AL432" s="174">
        <v>5</v>
      </c>
      <c r="AM432" s="174">
        <v>5</v>
      </c>
      <c r="AO432" s="174">
        <v>5</v>
      </c>
      <c r="AP432" s="174">
        <v>5</v>
      </c>
      <c r="AS432" s="174">
        <v>5</v>
      </c>
      <c r="AT432" s="174">
        <v>5</v>
      </c>
      <c r="AU432" s="174">
        <v>5</v>
      </c>
      <c r="AV432" s="174">
        <v>5</v>
      </c>
      <c r="AW432" s="174">
        <v>5</v>
      </c>
      <c r="AX432" s="174">
        <v>5</v>
      </c>
      <c r="AY432" s="174">
        <v>5</v>
      </c>
      <c r="AZ432" s="174">
        <v>5</v>
      </c>
      <c r="BA432" s="174">
        <v>5</v>
      </c>
      <c r="BB432" s="174">
        <v>5</v>
      </c>
      <c r="BC432" s="174">
        <v>10</v>
      </c>
      <c r="BD432" s="174">
        <v>10</v>
      </c>
      <c r="BE432" s="174">
        <v>10</v>
      </c>
      <c r="BF432" s="174">
        <v>5</v>
      </c>
      <c r="BG432" s="174">
        <v>10</v>
      </c>
      <c r="BH432" s="174">
        <v>5</v>
      </c>
      <c r="BI432" s="174">
        <v>5</v>
      </c>
      <c r="BJ432" s="174">
        <v>5</v>
      </c>
      <c r="BK432" s="174">
        <v>5</v>
      </c>
      <c r="BL432" s="174">
        <v>5</v>
      </c>
      <c r="BM432" s="174">
        <v>5</v>
      </c>
      <c r="BN432" s="174">
        <v>5</v>
      </c>
      <c r="BO432" s="174">
        <v>5</v>
      </c>
      <c r="BP432" s="174">
        <v>5</v>
      </c>
      <c r="BQ432" s="174">
        <v>5</v>
      </c>
      <c r="BR432" s="174">
        <v>10</v>
      </c>
      <c r="BS432" s="174">
        <v>10</v>
      </c>
      <c r="BT432" s="174">
        <v>10</v>
      </c>
      <c r="BU432" s="174">
        <v>5</v>
      </c>
      <c r="BV432" s="174">
        <v>5</v>
      </c>
      <c r="BX432" s="174">
        <v>5</v>
      </c>
      <c r="BY432" s="174">
        <v>5</v>
      </c>
      <c r="BZ432" s="174">
        <v>5</v>
      </c>
      <c r="CA432" s="174">
        <v>5</v>
      </c>
      <c r="CB432" s="174">
        <v>5</v>
      </c>
      <c r="CC432" s="174">
        <v>5</v>
      </c>
      <c r="CD432" s="174">
        <v>5</v>
      </c>
      <c r="CE432" s="174">
        <v>10</v>
      </c>
      <c r="CF432" s="174">
        <v>5</v>
      </c>
      <c r="CG432" s="174">
        <v>5</v>
      </c>
      <c r="CH432" s="174">
        <v>5</v>
      </c>
      <c r="CI432" s="174">
        <v>5</v>
      </c>
      <c r="CJ432" s="174">
        <v>5</v>
      </c>
      <c r="CK432" s="174">
        <v>5</v>
      </c>
      <c r="CL432" s="174">
        <v>5</v>
      </c>
      <c r="CN432" s="174">
        <v>5</v>
      </c>
      <c r="CO432" s="174">
        <v>5</v>
      </c>
      <c r="CP432" s="174">
        <v>5</v>
      </c>
      <c r="CQ432" s="174">
        <v>5</v>
      </c>
      <c r="CX432" s="174">
        <v>5</v>
      </c>
      <c r="CY432" s="174">
        <v>5</v>
      </c>
      <c r="CZ432" s="174">
        <v>5</v>
      </c>
      <c r="DB432" s="174">
        <v>5</v>
      </c>
      <c r="DC432" s="174">
        <v>5</v>
      </c>
      <c r="DD432" s="174">
        <v>5</v>
      </c>
      <c r="DF432" s="174">
        <v>5</v>
      </c>
    </row>
    <row r="433" spans="5:110" ht="13.35" customHeight="1" x14ac:dyDescent="0.2">
      <c r="E433" s="182" t="s">
        <v>761</v>
      </c>
      <c r="K433" s="174">
        <v>5</v>
      </c>
      <c r="L433" s="174">
        <v>5</v>
      </c>
      <c r="M433" s="174">
        <v>5</v>
      </c>
      <c r="N433" s="174">
        <v>5</v>
      </c>
      <c r="O433" s="174">
        <v>5</v>
      </c>
      <c r="P433" s="174">
        <v>5</v>
      </c>
      <c r="Q433" s="174">
        <v>5</v>
      </c>
      <c r="R433" s="174">
        <v>5</v>
      </c>
      <c r="S433" s="174">
        <v>5</v>
      </c>
      <c r="AA433" s="174">
        <v>5</v>
      </c>
      <c r="AB433" s="174">
        <v>5</v>
      </c>
      <c r="AD433" s="174">
        <v>5</v>
      </c>
      <c r="AF433" s="174">
        <v>5</v>
      </c>
      <c r="AG433" s="174">
        <v>5</v>
      </c>
      <c r="AK433" s="174">
        <v>5</v>
      </c>
      <c r="AL433" s="174">
        <v>5</v>
      </c>
      <c r="AM433" s="174">
        <v>5</v>
      </c>
      <c r="AO433" s="174">
        <v>5</v>
      </c>
      <c r="AP433" s="174">
        <v>5</v>
      </c>
      <c r="AS433" s="174">
        <v>5</v>
      </c>
      <c r="AT433" s="174">
        <v>5</v>
      </c>
      <c r="AU433" s="174">
        <v>5</v>
      </c>
      <c r="AV433" s="174">
        <v>5</v>
      </c>
      <c r="AW433" s="174">
        <v>5</v>
      </c>
      <c r="AX433" s="174">
        <v>5</v>
      </c>
      <c r="AY433" s="174">
        <v>5</v>
      </c>
      <c r="AZ433" s="174">
        <v>5</v>
      </c>
      <c r="BA433" s="174">
        <v>5</v>
      </c>
      <c r="BB433" s="174">
        <v>5</v>
      </c>
      <c r="BC433" s="174">
        <v>10</v>
      </c>
      <c r="BD433" s="174">
        <v>10</v>
      </c>
      <c r="BE433" s="174">
        <v>10</v>
      </c>
      <c r="BF433" s="174">
        <v>5</v>
      </c>
      <c r="BG433" s="174">
        <v>10</v>
      </c>
      <c r="BH433" s="174">
        <v>5</v>
      </c>
      <c r="BI433" s="174">
        <v>5</v>
      </c>
      <c r="BJ433" s="174">
        <v>5</v>
      </c>
      <c r="BK433" s="174">
        <v>5</v>
      </c>
      <c r="BL433" s="174">
        <v>5</v>
      </c>
      <c r="BM433" s="174">
        <v>5</v>
      </c>
      <c r="BN433" s="174">
        <v>5</v>
      </c>
      <c r="BO433" s="174">
        <v>5</v>
      </c>
      <c r="BP433" s="174">
        <v>5</v>
      </c>
      <c r="BQ433" s="174">
        <v>5</v>
      </c>
      <c r="BR433" s="174">
        <v>10</v>
      </c>
      <c r="BS433" s="174">
        <v>10</v>
      </c>
      <c r="BT433" s="174">
        <v>10</v>
      </c>
      <c r="BU433" s="174">
        <v>5</v>
      </c>
      <c r="BV433" s="174">
        <v>5</v>
      </c>
      <c r="BX433" s="174">
        <v>5</v>
      </c>
      <c r="BY433" s="174">
        <v>5</v>
      </c>
      <c r="BZ433" s="174">
        <v>5</v>
      </c>
      <c r="CA433" s="174">
        <v>5</v>
      </c>
      <c r="CB433" s="174">
        <v>5</v>
      </c>
      <c r="CC433" s="174">
        <v>5</v>
      </c>
      <c r="CD433" s="174">
        <v>5</v>
      </c>
      <c r="CE433" s="174">
        <v>10</v>
      </c>
      <c r="CF433" s="174">
        <v>5</v>
      </c>
      <c r="CG433" s="174">
        <v>5</v>
      </c>
      <c r="CH433" s="174">
        <v>5</v>
      </c>
      <c r="CI433" s="174">
        <v>5</v>
      </c>
      <c r="CJ433" s="174">
        <v>5</v>
      </c>
      <c r="CK433" s="174">
        <v>5</v>
      </c>
      <c r="CL433" s="174">
        <v>5</v>
      </c>
      <c r="CN433" s="174">
        <v>5</v>
      </c>
      <c r="CO433" s="174">
        <v>5</v>
      </c>
      <c r="CP433" s="174">
        <v>5</v>
      </c>
      <c r="CQ433" s="174">
        <v>5</v>
      </c>
      <c r="CX433" s="174">
        <v>5</v>
      </c>
      <c r="CY433" s="174">
        <v>5</v>
      </c>
      <c r="CZ433" s="174">
        <v>5</v>
      </c>
      <c r="DB433" s="174">
        <v>5</v>
      </c>
      <c r="DC433" s="174">
        <v>5</v>
      </c>
      <c r="DD433" s="174">
        <v>5</v>
      </c>
      <c r="DF433" s="174">
        <v>6</v>
      </c>
    </row>
    <row r="434" spans="5:110" ht="13.35" customHeight="1" x14ac:dyDescent="0.2">
      <c r="E434" s="182" t="s">
        <v>762</v>
      </c>
      <c r="K434" s="174">
        <v>5</v>
      </c>
      <c r="L434" s="174">
        <v>5</v>
      </c>
      <c r="M434" s="174">
        <v>5</v>
      </c>
      <c r="N434" s="174">
        <v>5</v>
      </c>
      <c r="O434" s="174">
        <v>5</v>
      </c>
      <c r="P434" s="174">
        <v>5</v>
      </c>
      <c r="Q434" s="174">
        <v>5</v>
      </c>
      <c r="R434" s="174">
        <v>5</v>
      </c>
      <c r="S434" s="174">
        <v>5</v>
      </c>
      <c r="AA434" s="174">
        <v>5</v>
      </c>
      <c r="AB434" s="174">
        <v>5</v>
      </c>
      <c r="AD434" s="174">
        <v>5</v>
      </c>
      <c r="AF434" s="174">
        <v>5</v>
      </c>
      <c r="AG434" s="174">
        <v>5</v>
      </c>
      <c r="AK434" s="174">
        <v>5</v>
      </c>
      <c r="AL434" s="174">
        <v>5</v>
      </c>
      <c r="AM434" s="174">
        <v>5</v>
      </c>
      <c r="AO434" s="174">
        <v>5</v>
      </c>
      <c r="AP434" s="174">
        <v>5</v>
      </c>
      <c r="AS434" s="174">
        <v>5</v>
      </c>
      <c r="AT434" s="174">
        <v>5</v>
      </c>
      <c r="AU434" s="174">
        <v>5</v>
      </c>
      <c r="AV434" s="174">
        <v>5</v>
      </c>
      <c r="AW434" s="174">
        <v>5</v>
      </c>
      <c r="AX434" s="174">
        <v>5</v>
      </c>
      <c r="AY434" s="174">
        <v>5</v>
      </c>
      <c r="AZ434" s="174">
        <v>5</v>
      </c>
      <c r="BA434" s="174">
        <v>5</v>
      </c>
      <c r="BB434" s="174">
        <v>5</v>
      </c>
      <c r="BC434" s="174">
        <v>10</v>
      </c>
      <c r="BD434" s="174">
        <v>10</v>
      </c>
      <c r="BE434" s="174">
        <v>10</v>
      </c>
      <c r="BF434" s="174">
        <v>5</v>
      </c>
      <c r="BG434" s="174">
        <v>10</v>
      </c>
      <c r="BH434" s="174">
        <v>5</v>
      </c>
      <c r="BI434" s="174">
        <v>5</v>
      </c>
      <c r="BJ434" s="174">
        <v>5</v>
      </c>
      <c r="BK434" s="174">
        <v>5</v>
      </c>
      <c r="BL434" s="174">
        <v>5</v>
      </c>
      <c r="BM434" s="174">
        <v>5</v>
      </c>
      <c r="BN434" s="174">
        <v>5</v>
      </c>
      <c r="BO434" s="174">
        <v>5</v>
      </c>
      <c r="BP434" s="174">
        <v>5</v>
      </c>
      <c r="BQ434" s="174">
        <v>5</v>
      </c>
      <c r="BR434" s="174">
        <v>10</v>
      </c>
      <c r="BS434" s="174">
        <v>10</v>
      </c>
      <c r="BT434" s="174">
        <v>10</v>
      </c>
      <c r="BU434" s="174">
        <v>5</v>
      </c>
      <c r="BV434" s="174">
        <v>5</v>
      </c>
      <c r="BX434" s="174">
        <v>5</v>
      </c>
      <c r="BY434" s="174">
        <v>5</v>
      </c>
      <c r="BZ434" s="174">
        <v>5</v>
      </c>
      <c r="CA434" s="174">
        <v>5</v>
      </c>
      <c r="CB434" s="174">
        <v>5</v>
      </c>
      <c r="CC434" s="174">
        <v>5</v>
      </c>
      <c r="CD434" s="174">
        <v>5</v>
      </c>
      <c r="CE434" s="174">
        <v>10</v>
      </c>
      <c r="CF434" s="174">
        <v>5</v>
      </c>
      <c r="CG434" s="174">
        <v>5</v>
      </c>
      <c r="CH434" s="174">
        <v>5</v>
      </c>
      <c r="CI434" s="174">
        <v>5</v>
      </c>
      <c r="CJ434" s="174">
        <v>5</v>
      </c>
      <c r="CK434" s="174">
        <v>5</v>
      </c>
      <c r="CL434" s="174">
        <v>5</v>
      </c>
      <c r="CN434" s="174">
        <v>5</v>
      </c>
      <c r="CO434" s="174">
        <v>5</v>
      </c>
      <c r="CP434" s="174">
        <v>5</v>
      </c>
      <c r="CQ434" s="174">
        <v>5</v>
      </c>
      <c r="CX434" s="174">
        <v>5</v>
      </c>
      <c r="CY434" s="174">
        <v>5</v>
      </c>
      <c r="CZ434" s="174">
        <v>5</v>
      </c>
      <c r="DB434" s="174">
        <v>5</v>
      </c>
      <c r="DC434" s="174">
        <v>5</v>
      </c>
      <c r="DD434" s="174">
        <v>5</v>
      </c>
      <c r="DF434" s="174">
        <v>7</v>
      </c>
    </row>
    <row r="435" spans="5:110" ht="13.35" customHeight="1" x14ac:dyDescent="0.2">
      <c r="E435" s="182" t="s">
        <v>763</v>
      </c>
      <c r="K435" s="174">
        <v>5</v>
      </c>
      <c r="L435" s="174">
        <v>5</v>
      </c>
      <c r="M435" s="174">
        <v>5</v>
      </c>
      <c r="N435" s="174">
        <v>5</v>
      </c>
      <c r="O435" s="174">
        <v>5</v>
      </c>
      <c r="P435" s="174">
        <v>5</v>
      </c>
      <c r="Q435" s="174">
        <v>5</v>
      </c>
      <c r="R435" s="174">
        <v>5</v>
      </c>
      <c r="S435" s="174">
        <v>5</v>
      </c>
      <c r="AA435" s="174">
        <v>5</v>
      </c>
      <c r="AB435" s="174">
        <v>5</v>
      </c>
      <c r="AD435" s="174">
        <v>5</v>
      </c>
      <c r="AF435" s="174">
        <v>5</v>
      </c>
      <c r="AG435" s="174">
        <v>5</v>
      </c>
      <c r="AK435" s="174">
        <v>5</v>
      </c>
      <c r="AL435" s="174">
        <v>5</v>
      </c>
      <c r="AM435" s="174">
        <v>5</v>
      </c>
      <c r="AO435" s="174">
        <v>5</v>
      </c>
      <c r="AP435" s="174">
        <v>5</v>
      </c>
      <c r="AS435" s="174">
        <v>5</v>
      </c>
      <c r="AT435" s="174">
        <v>5</v>
      </c>
      <c r="AU435" s="174">
        <v>5</v>
      </c>
      <c r="AV435" s="174">
        <v>5</v>
      </c>
      <c r="AW435" s="174">
        <v>5</v>
      </c>
      <c r="AX435" s="174">
        <v>5</v>
      </c>
      <c r="AY435" s="174">
        <v>5</v>
      </c>
      <c r="AZ435" s="174">
        <v>5</v>
      </c>
      <c r="BA435" s="174">
        <v>5</v>
      </c>
      <c r="BB435" s="174">
        <v>5</v>
      </c>
      <c r="BC435" s="174">
        <v>10</v>
      </c>
      <c r="BD435" s="174">
        <v>10</v>
      </c>
      <c r="BE435" s="174">
        <v>10</v>
      </c>
      <c r="BF435" s="174">
        <v>5</v>
      </c>
      <c r="BG435" s="174">
        <v>10</v>
      </c>
      <c r="BH435" s="174">
        <v>5</v>
      </c>
      <c r="BI435" s="174">
        <v>5</v>
      </c>
      <c r="BJ435" s="174">
        <v>5</v>
      </c>
      <c r="BK435" s="174">
        <v>5</v>
      </c>
      <c r="BL435" s="174">
        <v>5</v>
      </c>
      <c r="BM435" s="174">
        <v>5</v>
      </c>
      <c r="BN435" s="174">
        <v>5</v>
      </c>
      <c r="BO435" s="174">
        <v>5</v>
      </c>
      <c r="BP435" s="174">
        <v>5</v>
      </c>
      <c r="BQ435" s="174">
        <v>5</v>
      </c>
      <c r="BR435" s="174">
        <v>10</v>
      </c>
      <c r="BS435" s="174">
        <v>10</v>
      </c>
      <c r="BT435" s="174">
        <v>10</v>
      </c>
      <c r="BU435" s="174">
        <v>5</v>
      </c>
      <c r="BV435" s="174">
        <v>5</v>
      </c>
      <c r="BX435" s="174">
        <v>5</v>
      </c>
      <c r="BY435" s="174">
        <v>5</v>
      </c>
      <c r="BZ435" s="174">
        <v>5</v>
      </c>
      <c r="CA435" s="174">
        <v>5</v>
      </c>
      <c r="CB435" s="174">
        <v>5</v>
      </c>
      <c r="CC435" s="174">
        <v>5</v>
      </c>
      <c r="CD435" s="174">
        <v>5</v>
      </c>
      <c r="CE435" s="174">
        <v>10</v>
      </c>
      <c r="CF435" s="174">
        <v>5</v>
      </c>
      <c r="CG435" s="174">
        <v>5</v>
      </c>
      <c r="CH435" s="174">
        <v>5</v>
      </c>
      <c r="CI435" s="174">
        <v>5</v>
      </c>
      <c r="CJ435" s="174">
        <v>5</v>
      </c>
      <c r="CK435" s="174">
        <v>5</v>
      </c>
      <c r="CL435" s="174">
        <v>5</v>
      </c>
      <c r="CN435" s="174">
        <v>5</v>
      </c>
      <c r="CO435" s="174">
        <v>5</v>
      </c>
      <c r="CP435" s="174">
        <v>5</v>
      </c>
      <c r="CQ435" s="174">
        <v>5</v>
      </c>
      <c r="CX435" s="174">
        <v>5</v>
      </c>
      <c r="CY435" s="174">
        <v>5</v>
      </c>
      <c r="CZ435" s="174">
        <v>5</v>
      </c>
      <c r="DB435" s="174">
        <v>5</v>
      </c>
      <c r="DC435" s="174">
        <v>5</v>
      </c>
      <c r="DD435" s="174">
        <v>5</v>
      </c>
      <c r="DF435" s="174">
        <v>8</v>
      </c>
    </row>
    <row r="436" spans="5:110" ht="13.35" customHeight="1" x14ac:dyDescent="0.2">
      <c r="E436" s="182" t="s">
        <v>764</v>
      </c>
      <c r="K436" s="174">
        <v>5</v>
      </c>
      <c r="L436" s="174">
        <v>5</v>
      </c>
      <c r="M436" s="174">
        <v>5</v>
      </c>
      <c r="N436" s="174">
        <v>5</v>
      </c>
      <c r="O436" s="174">
        <v>5</v>
      </c>
      <c r="P436" s="174">
        <v>5</v>
      </c>
      <c r="Q436" s="174">
        <v>5</v>
      </c>
      <c r="R436" s="174">
        <v>5</v>
      </c>
      <c r="S436" s="174">
        <v>5</v>
      </c>
      <c r="AA436" s="174">
        <v>5</v>
      </c>
      <c r="AB436" s="174">
        <v>5</v>
      </c>
      <c r="AD436" s="174">
        <v>5</v>
      </c>
      <c r="AF436" s="174">
        <v>5</v>
      </c>
      <c r="AG436" s="174">
        <v>5</v>
      </c>
      <c r="AK436" s="174">
        <v>5</v>
      </c>
      <c r="AL436" s="174">
        <v>5</v>
      </c>
      <c r="AM436" s="174">
        <v>5</v>
      </c>
      <c r="AO436" s="174">
        <v>5</v>
      </c>
      <c r="AP436" s="174">
        <v>5</v>
      </c>
      <c r="AS436" s="174">
        <v>5</v>
      </c>
      <c r="AT436" s="174">
        <v>5</v>
      </c>
      <c r="AU436" s="174">
        <v>5</v>
      </c>
      <c r="AV436" s="174">
        <v>5</v>
      </c>
      <c r="AW436" s="174">
        <v>5</v>
      </c>
      <c r="AX436" s="174">
        <v>5</v>
      </c>
      <c r="AY436" s="174">
        <v>5</v>
      </c>
      <c r="AZ436" s="174">
        <v>5</v>
      </c>
      <c r="BA436" s="174">
        <v>5</v>
      </c>
      <c r="BB436" s="174">
        <v>5</v>
      </c>
      <c r="BC436" s="174">
        <v>10</v>
      </c>
      <c r="BD436" s="174">
        <v>10</v>
      </c>
      <c r="BE436" s="174">
        <v>10</v>
      </c>
      <c r="BF436" s="174">
        <v>5</v>
      </c>
      <c r="BG436" s="174">
        <v>10</v>
      </c>
      <c r="BH436" s="174">
        <v>5</v>
      </c>
      <c r="BI436" s="174">
        <v>5</v>
      </c>
      <c r="BJ436" s="174">
        <v>5</v>
      </c>
      <c r="BK436" s="174">
        <v>5</v>
      </c>
      <c r="BL436" s="174">
        <v>5</v>
      </c>
      <c r="BM436" s="174">
        <v>5</v>
      </c>
      <c r="BN436" s="174">
        <v>5</v>
      </c>
      <c r="BO436" s="174">
        <v>5</v>
      </c>
      <c r="BP436" s="174">
        <v>5</v>
      </c>
      <c r="BQ436" s="174">
        <v>5</v>
      </c>
      <c r="BR436" s="174">
        <v>10</v>
      </c>
      <c r="BS436" s="174">
        <v>10</v>
      </c>
      <c r="BT436" s="174">
        <v>10</v>
      </c>
      <c r="BU436" s="174">
        <v>5</v>
      </c>
      <c r="BV436" s="174">
        <v>5</v>
      </c>
      <c r="BX436" s="174">
        <v>5</v>
      </c>
      <c r="BY436" s="174">
        <v>5</v>
      </c>
      <c r="BZ436" s="174">
        <v>5</v>
      </c>
      <c r="CA436" s="174">
        <v>5</v>
      </c>
      <c r="CB436" s="174">
        <v>5</v>
      </c>
      <c r="CC436" s="174">
        <v>5</v>
      </c>
      <c r="CD436" s="174">
        <v>5</v>
      </c>
      <c r="CE436" s="174">
        <v>10</v>
      </c>
      <c r="CF436" s="174">
        <v>5</v>
      </c>
      <c r="CG436" s="174">
        <v>5</v>
      </c>
      <c r="CH436" s="174">
        <v>5</v>
      </c>
      <c r="CI436" s="174">
        <v>5</v>
      </c>
      <c r="CJ436" s="174">
        <v>5</v>
      </c>
      <c r="CK436" s="174">
        <v>5</v>
      </c>
      <c r="CL436" s="174">
        <v>5</v>
      </c>
      <c r="CN436" s="174">
        <v>5</v>
      </c>
      <c r="CO436" s="174">
        <v>5</v>
      </c>
      <c r="CP436" s="174">
        <v>5</v>
      </c>
      <c r="CQ436" s="174">
        <v>5</v>
      </c>
      <c r="CX436" s="174">
        <v>5</v>
      </c>
      <c r="CY436" s="174">
        <v>5</v>
      </c>
      <c r="CZ436" s="174">
        <v>5</v>
      </c>
      <c r="DB436" s="174">
        <v>5</v>
      </c>
      <c r="DC436" s="174">
        <v>5</v>
      </c>
      <c r="DD436" s="174">
        <v>5</v>
      </c>
      <c r="DF436" s="174">
        <v>9</v>
      </c>
    </row>
    <row r="440" spans="5:110" ht="13.35" customHeight="1" x14ac:dyDescent="0.2">
      <c r="E440" s="174" t="s">
        <v>781</v>
      </c>
      <c r="F440" s="174" t="s">
        <v>782</v>
      </c>
      <c r="G440" s="174" t="s">
        <v>783</v>
      </c>
      <c r="H440" s="174" t="s">
        <v>784</v>
      </c>
      <c r="I440" s="174" t="s">
        <v>785</v>
      </c>
      <c r="J440" s="174" t="s">
        <v>786</v>
      </c>
      <c r="K440" s="174" t="s">
        <v>787</v>
      </c>
      <c r="L440" s="174" t="s">
        <v>788</v>
      </c>
      <c r="M440" s="174" t="s">
        <v>789</v>
      </c>
      <c r="N440" s="174" t="s">
        <v>790</v>
      </c>
      <c r="O440" s="174" t="s">
        <v>791</v>
      </c>
      <c r="P440" s="174" t="s">
        <v>792</v>
      </c>
      <c r="Q440" s="174" t="s">
        <v>793</v>
      </c>
      <c r="R440" s="174" t="s">
        <v>794</v>
      </c>
      <c r="S440" s="174" t="s">
        <v>182</v>
      </c>
      <c r="T440" s="174" t="s">
        <v>795</v>
      </c>
      <c r="U440" s="174" t="s">
        <v>796</v>
      </c>
      <c r="V440" s="174" t="s">
        <v>797</v>
      </c>
      <c r="W440" s="174" t="s">
        <v>798</v>
      </c>
      <c r="X440" s="174" t="s">
        <v>799</v>
      </c>
      <c r="Y440" s="174" t="s">
        <v>800</v>
      </c>
      <c r="AA440" s="174" t="s">
        <v>801</v>
      </c>
      <c r="AB440" s="174" t="s">
        <v>802</v>
      </c>
      <c r="AC440" s="174" t="s">
        <v>803</v>
      </c>
      <c r="AD440" s="174" t="s">
        <v>804</v>
      </c>
      <c r="AF440" s="174" t="s">
        <v>805</v>
      </c>
      <c r="AG440" s="174" t="s">
        <v>806</v>
      </c>
      <c r="AH440" s="174" t="s">
        <v>807</v>
      </c>
      <c r="AJ440" s="174" t="s">
        <v>808</v>
      </c>
      <c r="AK440" s="174" t="s">
        <v>809</v>
      </c>
      <c r="AL440" s="174" t="s">
        <v>810</v>
      </c>
      <c r="AM440" s="174" t="s">
        <v>811</v>
      </c>
      <c r="AO440" s="174" t="s">
        <v>812</v>
      </c>
      <c r="AP440" s="174" t="s">
        <v>813</v>
      </c>
      <c r="AQ440" s="174" t="s">
        <v>814</v>
      </c>
      <c r="AS440" s="174" t="s">
        <v>815</v>
      </c>
      <c r="AT440" s="174" t="s">
        <v>816</v>
      </c>
      <c r="AU440" s="174" t="s">
        <v>3484</v>
      </c>
      <c r="AV440" s="174" t="s">
        <v>818</v>
      </c>
      <c r="AW440" s="174" t="s">
        <v>819</v>
      </c>
      <c r="AX440" s="174" t="str">
        <f t="shared" ref="AX440:CQ440" si="210">AX2</f>
        <v>Priest of Community</v>
      </c>
      <c r="AY440" s="174" t="str">
        <f t="shared" si="210"/>
        <v>Priest of Competition</v>
      </c>
      <c r="AZ440" s="174" t="str">
        <f t="shared" si="210"/>
        <v>Priest of Crafts</v>
      </c>
      <c r="BA440" s="174" t="str">
        <f t="shared" si="210"/>
        <v>Priest of Culture</v>
      </c>
      <c r="BB440" s="174" t="str">
        <f t="shared" si="210"/>
        <v>Priest of Darkness, Night</v>
      </c>
      <c r="BC440" s="174" t="str">
        <f t="shared" si="210"/>
        <v>Priest of Dawn</v>
      </c>
      <c r="BD440" s="174" t="str">
        <f t="shared" si="210"/>
        <v>Priest of Death</v>
      </c>
      <c r="BE440" s="174" t="str">
        <f t="shared" si="210"/>
        <v>Priest of Disease</v>
      </c>
      <c r="BF440" s="174" t="str">
        <f t="shared" si="210"/>
        <v>Priest of Earth</v>
      </c>
      <c r="BG440" s="174" t="str">
        <f t="shared" si="210"/>
        <v>Priest of Fate, Destiny</v>
      </c>
      <c r="BH440" s="174" t="str">
        <f t="shared" si="210"/>
        <v>Priest of Fertility</v>
      </c>
      <c r="BI440" s="174" t="str">
        <f t="shared" si="210"/>
        <v>Priest of Fire</v>
      </c>
      <c r="BJ440" s="174" t="str">
        <f t="shared" si="210"/>
        <v>Priest of Fortune, Luck</v>
      </c>
      <c r="BK440" s="174" t="str">
        <f t="shared" si="210"/>
        <v>Priest of Guardianship</v>
      </c>
      <c r="BL440" s="174" t="str">
        <f t="shared" si="210"/>
        <v>Priest of Healing</v>
      </c>
      <c r="BM440" s="174" t="str">
        <f t="shared" si="210"/>
        <v>Priest of Hunting</v>
      </c>
      <c r="BN440" s="174" t="str">
        <f t="shared" si="210"/>
        <v>Priest of Justice, Revenge</v>
      </c>
      <c r="BO440" s="174" t="str">
        <f t="shared" si="210"/>
        <v>Priest of Light</v>
      </c>
      <c r="BP440" s="174" t="str">
        <f t="shared" si="210"/>
        <v>Priest of Lightning</v>
      </c>
      <c r="BQ440" s="174" t="str">
        <f t="shared" si="210"/>
        <v>Priest of Literature</v>
      </c>
      <c r="BR440" s="174" t="str">
        <f t="shared" si="210"/>
        <v>Priest of Love</v>
      </c>
      <c r="BS440" s="174" t="str">
        <f t="shared" si="210"/>
        <v>Priest of Magic</v>
      </c>
      <c r="BT440" s="174" t="str">
        <f t="shared" si="210"/>
        <v>Priest of Marriage</v>
      </c>
      <c r="BU440" s="174" t="str">
        <f t="shared" si="210"/>
        <v>Priest of Messengers</v>
      </c>
      <c r="BV440" s="174" t="str">
        <f t="shared" si="210"/>
        <v>Priest of Metalwork</v>
      </c>
      <c r="BW440" s="174" t="str">
        <f t="shared" si="210"/>
        <v>Priest of Mischief/Trickery</v>
      </c>
      <c r="BX440" s="174" t="str">
        <f t="shared" si="210"/>
        <v>Priest of Moon</v>
      </c>
      <c r="BY440" s="174" t="str">
        <f t="shared" si="210"/>
        <v>Priest of Music, Dance</v>
      </c>
      <c r="BZ440" s="174" t="str">
        <f t="shared" si="210"/>
        <v>Priest of Nature</v>
      </c>
      <c r="CA440" s="174" t="str">
        <f t="shared" si="210"/>
        <v>Priest of Ocean, Rivers</v>
      </c>
      <c r="CB440" s="174" t="str">
        <f t="shared" si="210"/>
        <v>Priest of Oracles</v>
      </c>
      <c r="CC440" s="174" t="str">
        <f t="shared" si="210"/>
        <v>Priest of Peace</v>
      </c>
      <c r="CD440" s="174" t="str">
        <f t="shared" si="210"/>
        <v>Priest of Prosperity</v>
      </c>
      <c r="CE440" s="174" t="str">
        <f t="shared" si="210"/>
        <v>Priest of Redemption</v>
      </c>
      <c r="CF440" s="174" t="str">
        <f t="shared" si="210"/>
        <v>Priest of Rulership</v>
      </c>
      <c r="CG440" s="174" t="str">
        <f t="shared" si="210"/>
        <v>Priest of Seasons</v>
      </c>
      <c r="CH440" s="174" t="str">
        <f t="shared" si="210"/>
        <v>Priest of Sky, Weather</v>
      </c>
      <c r="CI440" s="174" t="str">
        <f t="shared" si="210"/>
        <v>Priest of Strength</v>
      </c>
      <c r="CJ440" s="174" t="str">
        <f t="shared" si="210"/>
        <v>Priest of Sun</v>
      </c>
      <c r="CK440" s="174" t="str">
        <f t="shared" si="210"/>
        <v>Priest of Thunder</v>
      </c>
      <c r="CL440" s="174" t="str">
        <f t="shared" si="210"/>
        <v>Priest of Time</v>
      </c>
      <c r="CN440" s="174" t="str">
        <f t="shared" si="210"/>
        <v>Priest of Vegetation</v>
      </c>
      <c r="CO440" s="174" t="str">
        <f t="shared" si="210"/>
        <v>Priest of War</v>
      </c>
      <c r="CP440" s="174" t="str">
        <f t="shared" si="210"/>
        <v>Priest of Wind</v>
      </c>
      <c r="CQ440" s="174" t="str">
        <f t="shared" si="210"/>
        <v>Priest of Wisdom</v>
      </c>
      <c r="CS440" s="174" t="str">
        <f>CS412</f>
        <v>Barbarian (FRP)</v>
      </c>
      <c r="CT440" s="174" t="str">
        <f>CT412</f>
        <v>Outrider (FRP)</v>
      </c>
      <c r="CU440" s="174" t="str">
        <f>CU412</f>
        <v>Sage (FRP)</v>
      </c>
      <c r="CV440" s="174" t="str">
        <f>CV412</f>
        <v>Swashbuckler (FRP)</v>
      </c>
      <c r="CX440" s="174" t="s">
        <v>870</v>
      </c>
      <c r="CY440" s="174" t="s">
        <v>871</v>
      </c>
      <c r="CZ440" s="174" t="s">
        <v>872</v>
      </c>
      <c r="DA440" s="174" t="s">
        <v>1149</v>
      </c>
      <c r="DB440" s="174" t="s">
        <v>874</v>
      </c>
      <c r="DC440" s="174" t="s">
        <v>875</v>
      </c>
      <c r="DD440" s="174" t="s">
        <v>876</v>
      </c>
      <c r="DE440" s="174" t="s">
        <v>877</v>
      </c>
      <c r="DF440" s="174">
        <v>1</v>
      </c>
    </row>
    <row r="441" spans="5:110" ht="13.35" customHeight="1" x14ac:dyDescent="0.2">
      <c r="E441" s="182" t="s">
        <v>3502</v>
      </c>
      <c r="F441" s="174" t="s">
        <v>3503</v>
      </c>
      <c r="G441" s="174" t="s">
        <v>3504</v>
      </c>
      <c r="H441" s="174" t="s">
        <v>3504</v>
      </c>
      <c r="I441" s="174" t="s">
        <v>3503</v>
      </c>
      <c r="J441" s="174" t="s">
        <v>3505</v>
      </c>
      <c r="K441" s="174" t="s">
        <v>3505</v>
      </c>
      <c r="L441" s="190" t="s">
        <v>3506</v>
      </c>
      <c r="M441" s="174" t="s">
        <v>3505</v>
      </c>
      <c r="N441" s="174" t="s">
        <v>3505</v>
      </c>
      <c r="O441" s="174" t="s">
        <v>3505</v>
      </c>
      <c r="P441" s="174" t="s">
        <v>3505</v>
      </c>
      <c r="Q441" s="174" t="s">
        <v>3505</v>
      </c>
      <c r="R441" s="174" t="s">
        <v>3507</v>
      </c>
      <c r="S441" s="174" t="s">
        <v>3505</v>
      </c>
      <c r="T441" s="174" t="s">
        <v>3508</v>
      </c>
      <c r="U441" s="174" t="s">
        <v>3503</v>
      </c>
      <c r="V441" s="174" t="s">
        <v>3503</v>
      </c>
      <c r="W441" s="174" t="s">
        <v>3509</v>
      </c>
      <c r="X441" s="174" t="s">
        <v>3510</v>
      </c>
      <c r="Y441" s="190" t="s">
        <v>3511</v>
      </c>
      <c r="AA441" s="174" t="s">
        <v>3505</v>
      </c>
      <c r="AB441" s="174" t="s">
        <v>3505</v>
      </c>
      <c r="AC441" s="174" t="s">
        <v>3503</v>
      </c>
      <c r="AD441" s="174" t="s">
        <v>3503</v>
      </c>
      <c r="AF441" s="190" t="s">
        <v>3506</v>
      </c>
      <c r="AG441" s="174" t="s">
        <v>3505</v>
      </c>
      <c r="AH441" s="174" t="s">
        <v>3503</v>
      </c>
      <c r="AJ441" s="174" t="s">
        <v>3503</v>
      </c>
      <c r="AK441" s="190" t="s">
        <v>3511</v>
      </c>
      <c r="AL441" s="190" t="s">
        <v>3511</v>
      </c>
      <c r="AM441" s="190" t="s">
        <v>3506</v>
      </c>
      <c r="AO441" s="174" t="s">
        <v>3505</v>
      </c>
      <c r="AP441" s="174" t="s">
        <v>3505</v>
      </c>
      <c r="AQ441" s="174" t="s">
        <v>3503</v>
      </c>
      <c r="AS441" s="174" t="s">
        <v>3505</v>
      </c>
      <c r="AT441" s="174" t="s">
        <v>3505</v>
      </c>
      <c r="AU441" s="174" t="s">
        <v>3505</v>
      </c>
      <c r="AV441" s="174" t="s">
        <v>3505</v>
      </c>
      <c r="AW441" s="174" t="s">
        <v>3505</v>
      </c>
      <c r="AX441" s="174" t="s">
        <v>3505</v>
      </c>
      <c r="AY441" s="174" t="s">
        <v>3505</v>
      </c>
      <c r="AZ441" s="174" t="s">
        <v>3505</v>
      </c>
      <c r="BA441" s="174" t="s">
        <v>3505</v>
      </c>
      <c r="BB441" s="174" t="s">
        <v>3505</v>
      </c>
      <c r="BC441" s="174" t="s">
        <v>3505</v>
      </c>
      <c r="BD441" s="174" t="s">
        <v>3505</v>
      </c>
      <c r="BE441" s="174" t="s">
        <v>3505</v>
      </c>
      <c r="BF441" s="174" t="s">
        <v>3505</v>
      </c>
      <c r="BG441" s="174" t="s">
        <v>3505</v>
      </c>
      <c r="BH441" s="174" t="s">
        <v>3505</v>
      </c>
      <c r="BI441" s="174" t="s">
        <v>3505</v>
      </c>
      <c r="BJ441" s="174" t="s">
        <v>3505</v>
      </c>
      <c r="BK441" s="174" t="s">
        <v>3505</v>
      </c>
      <c r="BL441" s="174" t="s">
        <v>3505</v>
      </c>
      <c r="BM441" s="174" t="s">
        <v>3505</v>
      </c>
      <c r="BN441" s="174" t="s">
        <v>3505</v>
      </c>
      <c r="BO441" s="174" t="s">
        <v>3505</v>
      </c>
      <c r="BP441" s="174" t="s">
        <v>3505</v>
      </c>
      <c r="BQ441" s="174" t="s">
        <v>3505</v>
      </c>
      <c r="BR441" s="174" t="s">
        <v>3505</v>
      </c>
      <c r="BS441" s="174" t="s">
        <v>3505</v>
      </c>
      <c r="BT441" s="174" t="s">
        <v>3505</v>
      </c>
      <c r="BU441" s="174" t="s">
        <v>3505</v>
      </c>
      <c r="BV441" s="174" t="s">
        <v>3505</v>
      </c>
      <c r="BW441" s="174" t="s">
        <v>3505</v>
      </c>
      <c r="BX441" s="174" t="s">
        <v>3505</v>
      </c>
      <c r="BY441" s="174" t="s">
        <v>3505</v>
      </c>
      <c r="BZ441" s="174" t="s">
        <v>3505</v>
      </c>
      <c r="CA441" s="174" t="s">
        <v>3505</v>
      </c>
      <c r="CB441" s="174" t="s">
        <v>3505</v>
      </c>
      <c r="CC441" s="174" t="s">
        <v>3505</v>
      </c>
      <c r="CD441" s="174" t="s">
        <v>3505</v>
      </c>
      <c r="CE441" s="174" t="s">
        <v>3505</v>
      </c>
      <c r="CF441" s="174" t="s">
        <v>3505</v>
      </c>
      <c r="CG441" s="174" t="s">
        <v>3505</v>
      </c>
      <c r="CH441" s="174" t="s">
        <v>3505</v>
      </c>
      <c r="CI441" s="174" t="s">
        <v>3505</v>
      </c>
      <c r="CJ441" s="174" t="s">
        <v>3505</v>
      </c>
      <c r="CK441" s="174" t="s">
        <v>3505</v>
      </c>
      <c r="CL441" s="174" t="s">
        <v>3505</v>
      </c>
      <c r="CN441" s="174" t="s">
        <v>3505</v>
      </c>
      <c r="CO441" s="174" t="s">
        <v>3505</v>
      </c>
      <c r="CP441" s="174" t="s">
        <v>3505</v>
      </c>
      <c r="CQ441" s="174" t="s">
        <v>3505</v>
      </c>
      <c r="CS441" s="174" t="s">
        <v>3512</v>
      </c>
      <c r="CT441" s="174" t="s">
        <v>3505</v>
      </c>
      <c r="CU441" s="190" t="s">
        <v>3506</v>
      </c>
      <c r="CV441" s="174" t="s">
        <v>3509</v>
      </c>
      <c r="CX441" s="174" t="s">
        <v>3503</v>
      </c>
      <c r="CY441" s="174" t="s">
        <v>3505</v>
      </c>
      <c r="CZ441" s="174" t="s">
        <v>3505</v>
      </c>
      <c r="DA441" s="174" t="s">
        <v>3512</v>
      </c>
      <c r="DE441" s="174">
        <f>DE7</f>
        <v>0</v>
      </c>
      <c r="DF441" s="174">
        <v>2</v>
      </c>
    </row>
    <row r="442" spans="5:110" ht="13.35" customHeight="1" x14ac:dyDescent="0.2">
      <c r="E442" s="182" t="s">
        <v>3513</v>
      </c>
      <c r="AG442" s="222"/>
      <c r="CS442" s="174" t="str">
        <f>CS16</f>
        <v>4/4/4</v>
      </c>
      <c r="CT442" s="174" t="str">
        <f>CT16</f>
        <v>2/2/2</v>
      </c>
      <c r="CU442" s="174" t="str">
        <f>CU16</f>
        <v>1/1/1</v>
      </c>
      <c r="CV442" s="174" t="str">
        <f>CV16</f>
        <v>2/2/2</v>
      </c>
      <c r="DE442" s="174">
        <f>DE16</f>
        <v>0</v>
      </c>
      <c r="DF442" s="174">
        <v>3</v>
      </c>
    </row>
    <row r="443" spans="5:110" ht="13.35" customHeight="1" x14ac:dyDescent="0.2">
      <c r="DF443" s="174">
        <v>4</v>
      </c>
    </row>
    <row r="444" spans="5:110" ht="13.35" customHeight="1" x14ac:dyDescent="0.2">
      <c r="E444" s="174" t="s">
        <v>747</v>
      </c>
      <c r="F444" s="174">
        <v>6</v>
      </c>
      <c r="G444" s="174">
        <v>2</v>
      </c>
      <c r="H444" s="174">
        <v>4</v>
      </c>
      <c r="I444" s="174">
        <v>6</v>
      </c>
      <c r="J444" s="174">
        <v>6</v>
      </c>
      <c r="K444" s="174">
        <v>15</v>
      </c>
      <c r="L444" s="174">
        <v>9</v>
      </c>
      <c r="M444" s="174">
        <v>15</v>
      </c>
      <c r="N444" s="174">
        <v>10</v>
      </c>
      <c r="O444" s="174">
        <v>15</v>
      </c>
      <c r="P444" s="174">
        <v>15</v>
      </c>
      <c r="Q444" s="174">
        <v>15</v>
      </c>
      <c r="R444" s="174">
        <v>15</v>
      </c>
      <c r="S444" s="174">
        <v>15</v>
      </c>
      <c r="T444" s="174">
        <v>6</v>
      </c>
      <c r="U444" s="174">
        <v>15</v>
      </c>
      <c r="V444" s="174">
        <v>8</v>
      </c>
      <c r="W444" s="174">
        <v>6</v>
      </c>
      <c r="X444" s="174">
        <v>12</v>
      </c>
      <c r="Y444" s="174">
        <v>5</v>
      </c>
      <c r="AA444" s="174">
        <v>16</v>
      </c>
      <c r="AB444" s="174">
        <v>16</v>
      </c>
      <c r="AC444" s="174">
        <v>10</v>
      </c>
      <c r="AD444" s="174">
        <v>6</v>
      </c>
      <c r="AF444" s="174">
        <v>12</v>
      </c>
      <c r="AG444" s="174">
        <v>12</v>
      </c>
      <c r="AH444" s="174">
        <v>8</v>
      </c>
      <c r="AJ444" s="174">
        <v>8</v>
      </c>
      <c r="AK444" s="174">
        <v>16</v>
      </c>
      <c r="AL444" s="174">
        <v>15</v>
      </c>
      <c r="AM444" s="174">
        <v>15</v>
      </c>
      <c r="AO444" s="174">
        <v>15</v>
      </c>
      <c r="AP444" s="174">
        <v>15</v>
      </c>
      <c r="AQ444" s="174">
        <v>6</v>
      </c>
      <c r="AS444" s="174">
        <v>15</v>
      </c>
      <c r="AT444" s="174">
        <v>15</v>
      </c>
      <c r="AU444" s="174">
        <v>15</v>
      </c>
      <c r="AV444" s="174">
        <v>15</v>
      </c>
      <c r="AW444" s="174">
        <v>15</v>
      </c>
      <c r="AX444" s="174">
        <v>15</v>
      </c>
      <c r="AY444" s="174">
        <v>15</v>
      </c>
      <c r="AZ444" s="174">
        <v>15</v>
      </c>
      <c r="BA444" s="174">
        <v>15</v>
      </c>
      <c r="BB444" s="174">
        <v>15</v>
      </c>
      <c r="BC444" s="174">
        <v>15</v>
      </c>
      <c r="BD444" s="174">
        <v>15</v>
      </c>
      <c r="BE444" s="174">
        <v>15</v>
      </c>
      <c r="BF444" s="174">
        <v>15</v>
      </c>
      <c r="BG444" s="174">
        <v>15</v>
      </c>
      <c r="BH444" s="174">
        <v>15</v>
      </c>
      <c r="BI444" s="174">
        <v>15</v>
      </c>
      <c r="BJ444" s="174">
        <v>15</v>
      </c>
      <c r="BK444" s="174">
        <v>15</v>
      </c>
      <c r="BL444" s="174">
        <v>15</v>
      </c>
      <c r="BM444" s="174">
        <v>15</v>
      </c>
      <c r="BN444" s="174">
        <v>15</v>
      </c>
      <c r="BO444" s="174">
        <v>15</v>
      </c>
      <c r="BP444" s="174">
        <v>15</v>
      </c>
      <c r="BQ444" s="174">
        <v>15</v>
      </c>
      <c r="BR444" s="174">
        <v>15</v>
      </c>
      <c r="BS444" s="174">
        <v>15</v>
      </c>
      <c r="BT444" s="174">
        <v>15</v>
      </c>
      <c r="BU444" s="174">
        <v>15</v>
      </c>
      <c r="BV444" s="174">
        <v>15</v>
      </c>
      <c r="BW444" s="174">
        <v>15</v>
      </c>
      <c r="BX444" s="174">
        <v>15</v>
      </c>
      <c r="BY444" s="174">
        <v>15</v>
      </c>
      <c r="BZ444" s="174">
        <v>15</v>
      </c>
      <c r="CA444" s="174">
        <v>15</v>
      </c>
      <c r="CB444" s="174">
        <v>15</v>
      </c>
      <c r="CC444" s="174">
        <v>15</v>
      </c>
      <c r="CD444" s="174">
        <v>15</v>
      </c>
      <c r="CE444" s="174">
        <v>15</v>
      </c>
      <c r="CF444" s="174">
        <v>15</v>
      </c>
      <c r="CG444" s="174">
        <v>15</v>
      </c>
      <c r="CH444" s="174">
        <v>15</v>
      </c>
      <c r="CI444" s="174">
        <v>15</v>
      </c>
      <c r="CJ444" s="174">
        <v>15</v>
      </c>
      <c r="CK444" s="174">
        <v>15</v>
      </c>
      <c r="CL444" s="174">
        <v>15</v>
      </c>
      <c r="CN444" s="174">
        <v>15</v>
      </c>
      <c r="CO444" s="174">
        <v>15</v>
      </c>
      <c r="CP444" s="174">
        <v>15</v>
      </c>
      <c r="CQ444" s="174">
        <v>15</v>
      </c>
      <c r="CS444" s="174">
        <v>3</v>
      </c>
      <c r="CT444" s="174">
        <v>3</v>
      </c>
      <c r="CU444" s="174">
        <v>6</v>
      </c>
      <c r="CV444" s="174">
        <v>4</v>
      </c>
      <c r="CX444" s="174">
        <v>15</v>
      </c>
      <c r="CY444" s="174">
        <v>15</v>
      </c>
      <c r="CZ444" s="174">
        <v>10</v>
      </c>
      <c r="DA444" s="174">
        <v>3</v>
      </c>
      <c r="DB444" s="174">
        <v>15</v>
      </c>
      <c r="DC444" s="174">
        <v>15</v>
      </c>
      <c r="DD444" s="174">
        <v>15</v>
      </c>
      <c r="DF444" s="174">
        <v>5</v>
      </c>
    </row>
    <row r="445" spans="5:110" ht="13.35" customHeight="1" x14ac:dyDescent="0.2">
      <c r="E445" s="174" t="s">
        <v>748</v>
      </c>
      <c r="F445" s="174">
        <v>10</v>
      </c>
      <c r="G445" s="174">
        <v>6</v>
      </c>
      <c r="H445" s="174">
        <v>8</v>
      </c>
      <c r="I445" s="174">
        <v>12</v>
      </c>
      <c r="J445" s="174">
        <v>12</v>
      </c>
      <c r="K445" s="174">
        <v>30</v>
      </c>
      <c r="L445" s="174">
        <v>18</v>
      </c>
      <c r="M445" s="174">
        <v>30</v>
      </c>
      <c r="N445" s="174">
        <v>20</v>
      </c>
      <c r="O445" s="174">
        <v>30</v>
      </c>
      <c r="P445" s="174">
        <v>30</v>
      </c>
      <c r="Q445" s="174">
        <v>30</v>
      </c>
      <c r="R445" s="174">
        <v>30</v>
      </c>
      <c r="S445" s="174">
        <v>30</v>
      </c>
      <c r="T445" s="174">
        <v>12</v>
      </c>
      <c r="U445" s="174">
        <v>30</v>
      </c>
      <c r="V445" s="174">
        <v>16</v>
      </c>
      <c r="W445" s="174">
        <v>12</v>
      </c>
      <c r="X445" s="174">
        <v>24</v>
      </c>
      <c r="Y445" s="174">
        <v>10</v>
      </c>
      <c r="AA445" s="174">
        <v>32</v>
      </c>
      <c r="AB445" s="174">
        <v>32</v>
      </c>
      <c r="AC445" s="174">
        <v>20</v>
      </c>
      <c r="AD445" s="174">
        <v>14</v>
      </c>
      <c r="AF445" s="174">
        <v>24</v>
      </c>
      <c r="AG445" s="174">
        <v>24</v>
      </c>
      <c r="AH445" s="174">
        <v>16</v>
      </c>
      <c r="AJ445" s="174">
        <v>16</v>
      </c>
      <c r="AK445" s="174">
        <v>32</v>
      </c>
      <c r="AL445" s="174">
        <v>30</v>
      </c>
      <c r="AM445" s="174">
        <v>30</v>
      </c>
      <c r="AO445" s="174">
        <v>30</v>
      </c>
      <c r="AP445" s="174">
        <v>30</v>
      </c>
      <c r="AQ445" s="174">
        <v>12</v>
      </c>
      <c r="AS445" s="174">
        <v>30</v>
      </c>
      <c r="AT445" s="174">
        <v>30</v>
      </c>
      <c r="AU445" s="174">
        <v>30</v>
      </c>
      <c r="AV445" s="174">
        <v>30</v>
      </c>
      <c r="AW445" s="174">
        <v>30</v>
      </c>
      <c r="AX445" s="174">
        <v>30</v>
      </c>
      <c r="AY445" s="174">
        <v>30</v>
      </c>
      <c r="AZ445" s="174">
        <v>30</v>
      </c>
      <c r="BA445" s="174">
        <v>30</v>
      </c>
      <c r="BB445" s="174">
        <v>30</v>
      </c>
      <c r="BC445" s="174">
        <v>30</v>
      </c>
      <c r="BD445" s="174">
        <v>30</v>
      </c>
      <c r="BE445" s="174">
        <v>30</v>
      </c>
      <c r="BF445" s="174">
        <v>30</v>
      </c>
      <c r="BG445" s="174">
        <v>30</v>
      </c>
      <c r="BH445" s="174">
        <v>30</v>
      </c>
      <c r="BI445" s="174">
        <v>30</v>
      </c>
      <c r="BJ445" s="174">
        <v>30</v>
      </c>
      <c r="BK445" s="174">
        <v>30</v>
      </c>
      <c r="BL445" s="174">
        <v>30</v>
      </c>
      <c r="BM445" s="174">
        <v>30</v>
      </c>
      <c r="BN445" s="174">
        <v>30</v>
      </c>
      <c r="BO445" s="174">
        <v>30</v>
      </c>
      <c r="BP445" s="174">
        <v>30</v>
      </c>
      <c r="BQ445" s="174">
        <v>30</v>
      </c>
      <c r="BR445" s="174">
        <v>30</v>
      </c>
      <c r="BS445" s="174">
        <v>30</v>
      </c>
      <c r="BT445" s="174">
        <v>30</v>
      </c>
      <c r="BU445" s="174">
        <v>30</v>
      </c>
      <c r="BV445" s="174">
        <v>30</v>
      </c>
      <c r="BW445" s="174">
        <v>30</v>
      </c>
      <c r="BX445" s="174">
        <v>30</v>
      </c>
      <c r="BY445" s="174">
        <v>30</v>
      </c>
      <c r="BZ445" s="174">
        <v>30</v>
      </c>
      <c r="CA445" s="174">
        <v>30</v>
      </c>
      <c r="CB445" s="174">
        <v>30</v>
      </c>
      <c r="CC445" s="174">
        <v>30</v>
      </c>
      <c r="CD445" s="174">
        <v>30</v>
      </c>
      <c r="CE445" s="174">
        <v>30</v>
      </c>
      <c r="CF445" s="174">
        <v>30</v>
      </c>
      <c r="CG445" s="174">
        <v>30</v>
      </c>
      <c r="CH445" s="174">
        <v>30</v>
      </c>
      <c r="CI445" s="174">
        <v>30</v>
      </c>
      <c r="CJ445" s="174">
        <v>30</v>
      </c>
      <c r="CK445" s="174">
        <v>30</v>
      </c>
      <c r="CL445" s="174">
        <v>30</v>
      </c>
      <c r="CN445" s="174">
        <v>30</v>
      </c>
      <c r="CO445" s="174">
        <v>30</v>
      </c>
      <c r="CP445" s="174">
        <v>30</v>
      </c>
      <c r="CQ445" s="174">
        <v>30</v>
      </c>
      <c r="CS445" s="174">
        <v>9</v>
      </c>
      <c r="CT445" s="174">
        <v>9</v>
      </c>
      <c r="CU445" s="174">
        <v>12</v>
      </c>
      <c r="CV445" s="174">
        <v>8</v>
      </c>
      <c r="CX445" s="174">
        <v>30</v>
      </c>
      <c r="CY445" s="174">
        <v>30</v>
      </c>
      <c r="CZ445" s="174">
        <v>20</v>
      </c>
      <c r="DA445" s="174">
        <v>9</v>
      </c>
      <c r="DB445" s="174">
        <v>30</v>
      </c>
      <c r="DC445" s="174">
        <v>30</v>
      </c>
      <c r="DD445" s="174">
        <v>30</v>
      </c>
      <c r="DF445" s="174">
        <v>6</v>
      </c>
    </row>
    <row r="446" spans="5:110" ht="13.35" customHeight="1" x14ac:dyDescent="0.2">
      <c r="E446" s="174" t="s">
        <v>749</v>
      </c>
      <c r="F446" s="174">
        <v>3</v>
      </c>
      <c r="G446" s="174">
        <v>3</v>
      </c>
      <c r="H446" s="174">
        <v>2</v>
      </c>
      <c r="I446" s="174">
        <v>2</v>
      </c>
      <c r="J446" s="174">
        <v>3</v>
      </c>
      <c r="K446" s="174">
        <v>3</v>
      </c>
      <c r="L446" s="174">
        <v>3</v>
      </c>
      <c r="M446" s="174">
        <v>3</v>
      </c>
      <c r="N446" s="174">
        <v>3</v>
      </c>
      <c r="O446" s="174">
        <v>3</v>
      </c>
      <c r="P446" s="174">
        <v>3</v>
      </c>
      <c r="Q446" s="174">
        <v>3</v>
      </c>
      <c r="R446" s="174">
        <v>3</v>
      </c>
      <c r="S446" s="174">
        <v>3</v>
      </c>
      <c r="T446" s="174">
        <v>3</v>
      </c>
      <c r="U446" s="174">
        <v>3</v>
      </c>
      <c r="V446" s="174">
        <v>3</v>
      </c>
      <c r="W446" s="174">
        <v>3</v>
      </c>
      <c r="X446" s="174">
        <v>2</v>
      </c>
      <c r="Y446" s="174">
        <v>3</v>
      </c>
      <c r="AA446" s="174">
        <v>3</v>
      </c>
      <c r="AB446" s="174">
        <v>3</v>
      </c>
      <c r="AC446" s="174">
        <v>3</v>
      </c>
      <c r="AD446" s="174">
        <v>3</v>
      </c>
      <c r="AF446" s="174">
        <v>3</v>
      </c>
      <c r="AG446" s="174">
        <v>3</v>
      </c>
      <c r="AH446" s="174">
        <v>3</v>
      </c>
      <c r="AJ446" s="174">
        <v>3</v>
      </c>
      <c r="AK446" s="174">
        <v>3</v>
      </c>
      <c r="AL446" s="174">
        <v>2</v>
      </c>
      <c r="AM446" s="174">
        <v>2</v>
      </c>
      <c r="AO446" s="174">
        <v>3</v>
      </c>
      <c r="AP446" s="174">
        <v>3</v>
      </c>
      <c r="AQ446" s="174">
        <v>3</v>
      </c>
      <c r="AS446" s="174">
        <v>2</v>
      </c>
      <c r="AT446" s="174">
        <v>2</v>
      </c>
      <c r="AU446" s="174">
        <v>2</v>
      </c>
      <c r="AV446" s="174">
        <v>2</v>
      </c>
      <c r="AW446" s="174">
        <v>2</v>
      </c>
      <c r="AX446" s="174">
        <v>2</v>
      </c>
      <c r="AY446" s="174">
        <v>2</v>
      </c>
      <c r="AZ446" s="174">
        <v>2</v>
      </c>
      <c r="BA446" s="174">
        <v>2</v>
      </c>
      <c r="BB446" s="174">
        <v>2</v>
      </c>
      <c r="BC446" s="174">
        <v>2</v>
      </c>
      <c r="BD446" s="174">
        <v>2</v>
      </c>
      <c r="BE446" s="174">
        <v>2</v>
      </c>
      <c r="BF446" s="174">
        <v>2</v>
      </c>
      <c r="BG446" s="174">
        <v>2</v>
      </c>
      <c r="BH446" s="174">
        <v>2</v>
      </c>
      <c r="BI446" s="174">
        <v>2</v>
      </c>
      <c r="BJ446" s="174">
        <v>2</v>
      </c>
      <c r="BK446" s="174">
        <v>2</v>
      </c>
      <c r="BL446" s="174">
        <v>2</v>
      </c>
      <c r="BM446" s="174">
        <v>2</v>
      </c>
      <c r="BN446" s="174">
        <v>2</v>
      </c>
      <c r="BO446" s="174">
        <v>2</v>
      </c>
      <c r="BP446" s="174">
        <v>2</v>
      </c>
      <c r="BQ446" s="174">
        <v>2</v>
      </c>
      <c r="BR446" s="174">
        <v>2</v>
      </c>
      <c r="BS446" s="174">
        <v>2</v>
      </c>
      <c r="BT446" s="174">
        <v>2</v>
      </c>
      <c r="BU446" s="174">
        <v>2</v>
      </c>
      <c r="BV446" s="174">
        <v>2</v>
      </c>
      <c r="BW446" s="174">
        <v>2</v>
      </c>
      <c r="BX446" s="174">
        <v>2</v>
      </c>
      <c r="BY446" s="174">
        <v>2</v>
      </c>
      <c r="BZ446" s="174">
        <v>2</v>
      </c>
      <c r="CA446" s="174">
        <v>2</v>
      </c>
      <c r="CB446" s="174">
        <v>2</v>
      </c>
      <c r="CC446" s="174">
        <v>2</v>
      </c>
      <c r="CD446" s="174">
        <v>2</v>
      </c>
      <c r="CE446" s="174">
        <v>2</v>
      </c>
      <c r="CF446" s="174">
        <v>2</v>
      </c>
      <c r="CG446" s="174">
        <v>2</v>
      </c>
      <c r="CH446" s="174">
        <v>2</v>
      </c>
      <c r="CI446" s="174">
        <v>2</v>
      </c>
      <c r="CJ446" s="174">
        <v>2</v>
      </c>
      <c r="CK446" s="174">
        <v>2</v>
      </c>
      <c r="CL446" s="174">
        <v>2</v>
      </c>
      <c r="CN446" s="174">
        <v>2</v>
      </c>
      <c r="CO446" s="174">
        <v>2</v>
      </c>
      <c r="CP446" s="174">
        <v>2</v>
      </c>
      <c r="CQ446" s="174">
        <v>2</v>
      </c>
      <c r="CS446" s="174">
        <v>3</v>
      </c>
      <c r="CT446" s="174">
        <v>3</v>
      </c>
      <c r="CU446" s="174">
        <v>2</v>
      </c>
      <c r="CV446" s="174">
        <v>2</v>
      </c>
      <c r="CX446" s="174">
        <v>3</v>
      </c>
      <c r="CY446" s="174">
        <v>3</v>
      </c>
      <c r="CZ446" s="174">
        <v>3</v>
      </c>
      <c r="DA446" s="174">
        <v>3</v>
      </c>
      <c r="DB446" s="174">
        <v>3</v>
      </c>
      <c r="DC446" s="174">
        <v>3</v>
      </c>
      <c r="DD446" s="174">
        <v>3</v>
      </c>
      <c r="DF446" s="174">
        <v>7</v>
      </c>
    </row>
    <row r="447" spans="5:110" ht="13.35" customHeight="1" x14ac:dyDescent="0.2">
      <c r="E447" s="174" t="s">
        <v>751</v>
      </c>
      <c r="F447" s="174">
        <v>7</v>
      </c>
      <c r="G447" s="174">
        <v>7</v>
      </c>
      <c r="H447" s="174">
        <v>7</v>
      </c>
      <c r="I447" s="174">
        <v>7</v>
      </c>
      <c r="J447" s="174">
        <v>7</v>
      </c>
      <c r="K447" s="174">
        <v>7</v>
      </c>
      <c r="L447" s="174">
        <v>7</v>
      </c>
      <c r="M447" s="174">
        <v>7</v>
      </c>
      <c r="N447" s="174">
        <v>7</v>
      </c>
      <c r="O447" s="174">
        <v>7</v>
      </c>
      <c r="P447" s="174">
        <v>7</v>
      </c>
      <c r="Q447" s="174">
        <v>7</v>
      </c>
      <c r="R447" s="174">
        <v>7</v>
      </c>
      <c r="S447" s="174">
        <v>7</v>
      </c>
      <c r="T447" s="174">
        <v>7</v>
      </c>
      <c r="U447" s="174">
        <v>7</v>
      </c>
      <c r="V447" s="174">
        <v>7</v>
      </c>
      <c r="W447" s="174">
        <v>7</v>
      </c>
      <c r="X447" s="174">
        <v>4</v>
      </c>
      <c r="Y447" s="174">
        <v>7</v>
      </c>
      <c r="AA447" s="174">
        <v>6</v>
      </c>
      <c r="AB447" s="174">
        <v>6</v>
      </c>
      <c r="AC447" s="174">
        <v>7</v>
      </c>
      <c r="AD447" s="174">
        <v>7</v>
      </c>
      <c r="AF447" s="174">
        <v>7</v>
      </c>
      <c r="AG447" s="174">
        <v>5</v>
      </c>
      <c r="AH447" s="174">
        <v>7</v>
      </c>
      <c r="AJ447" s="174">
        <v>9</v>
      </c>
      <c r="AK447" s="174">
        <v>7</v>
      </c>
      <c r="AL447" s="174">
        <v>5</v>
      </c>
      <c r="AM447" s="174">
        <v>7</v>
      </c>
      <c r="AO447" s="174">
        <v>5</v>
      </c>
      <c r="AP447" s="174">
        <v>7</v>
      </c>
      <c r="AQ447" s="174">
        <v>7</v>
      </c>
      <c r="AS447" s="174">
        <v>5</v>
      </c>
      <c r="AT447" s="174">
        <v>5</v>
      </c>
      <c r="AU447" s="174">
        <v>5</v>
      </c>
      <c r="AV447" s="174">
        <v>5</v>
      </c>
      <c r="AW447" s="174">
        <v>5</v>
      </c>
      <c r="AX447" s="174">
        <v>5</v>
      </c>
      <c r="AY447" s="174">
        <v>5</v>
      </c>
      <c r="AZ447" s="174">
        <v>5</v>
      </c>
      <c r="BA447" s="174">
        <v>5</v>
      </c>
      <c r="BB447" s="174">
        <v>5</v>
      </c>
      <c r="BC447" s="174">
        <v>5</v>
      </c>
      <c r="BD447" s="174">
        <v>5</v>
      </c>
      <c r="BE447" s="174">
        <v>5</v>
      </c>
      <c r="BF447" s="174">
        <v>5</v>
      </c>
      <c r="BG447" s="174">
        <v>5</v>
      </c>
      <c r="BH447" s="174">
        <v>5</v>
      </c>
      <c r="BI447" s="174">
        <v>5</v>
      </c>
      <c r="BJ447" s="174">
        <v>5</v>
      </c>
      <c r="BK447" s="174">
        <v>5</v>
      </c>
      <c r="BL447" s="174">
        <v>5</v>
      </c>
      <c r="BM447" s="174">
        <v>5</v>
      </c>
      <c r="BN447" s="174">
        <v>5</v>
      </c>
      <c r="BO447" s="174">
        <v>5</v>
      </c>
      <c r="BP447" s="174">
        <v>5</v>
      </c>
      <c r="BQ447" s="174">
        <v>5</v>
      </c>
      <c r="BR447" s="174">
        <v>5</v>
      </c>
      <c r="BS447" s="174">
        <v>5</v>
      </c>
      <c r="BT447" s="174">
        <v>5</v>
      </c>
      <c r="BU447" s="174">
        <v>5</v>
      </c>
      <c r="BV447" s="174">
        <v>5</v>
      </c>
      <c r="BW447" s="174">
        <v>5</v>
      </c>
      <c r="BX447" s="174">
        <v>5</v>
      </c>
      <c r="BY447" s="174">
        <v>5</v>
      </c>
      <c r="BZ447" s="174">
        <v>5</v>
      </c>
      <c r="CA447" s="174">
        <v>5</v>
      </c>
      <c r="CB447" s="174">
        <v>5</v>
      </c>
      <c r="CC447" s="174">
        <v>5</v>
      </c>
      <c r="CD447" s="174">
        <v>5</v>
      </c>
      <c r="CE447" s="174">
        <v>5</v>
      </c>
      <c r="CF447" s="174">
        <v>5</v>
      </c>
      <c r="CG447" s="174">
        <v>5</v>
      </c>
      <c r="CH447" s="174">
        <v>5</v>
      </c>
      <c r="CI447" s="174">
        <v>5</v>
      </c>
      <c r="CJ447" s="174">
        <v>5</v>
      </c>
      <c r="CK447" s="174">
        <v>5</v>
      </c>
      <c r="CL447" s="174">
        <v>5</v>
      </c>
      <c r="CN447" s="174">
        <v>5</v>
      </c>
      <c r="CO447" s="174">
        <v>5</v>
      </c>
      <c r="CP447" s="174">
        <v>5</v>
      </c>
      <c r="CQ447" s="174">
        <v>5</v>
      </c>
      <c r="CS447" s="174">
        <v>7</v>
      </c>
      <c r="CT447" s="174">
        <v>7</v>
      </c>
      <c r="CU447" s="174">
        <v>4</v>
      </c>
      <c r="CV447" s="174">
        <v>7</v>
      </c>
      <c r="CX447" s="174">
        <v>7</v>
      </c>
      <c r="CY447" s="174">
        <v>7</v>
      </c>
      <c r="CZ447" s="174">
        <v>7</v>
      </c>
      <c r="DA447" s="174">
        <v>7</v>
      </c>
      <c r="DB447" s="174">
        <v>7</v>
      </c>
      <c r="DC447" s="174">
        <v>7</v>
      </c>
      <c r="DD447" s="174">
        <v>7</v>
      </c>
      <c r="DF447" s="174">
        <v>8</v>
      </c>
    </row>
    <row r="452" spans="5:109" ht="13.35" customHeight="1" x14ac:dyDescent="0.2">
      <c r="E452" s="174" t="s">
        <v>3514</v>
      </c>
      <c r="F452" s="185">
        <v>2</v>
      </c>
      <c r="G452" s="185">
        <v>2</v>
      </c>
      <c r="H452" s="185">
        <v>2</v>
      </c>
      <c r="I452" s="185">
        <v>2</v>
      </c>
      <c r="J452" s="185">
        <v>2</v>
      </c>
      <c r="K452" s="185">
        <v>2</v>
      </c>
      <c r="L452" s="185">
        <v>1</v>
      </c>
      <c r="M452" s="185">
        <v>2</v>
      </c>
      <c r="N452" s="185">
        <v>2</v>
      </c>
      <c r="O452" s="185">
        <v>2</v>
      </c>
      <c r="P452" s="185">
        <v>2</v>
      </c>
      <c r="Q452" s="185">
        <v>2</v>
      </c>
      <c r="R452" s="185">
        <v>1</v>
      </c>
      <c r="S452" s="185">
        <v>2</v>
      </c>
      <c r="T452" s="185">
        <v>2</v>
      </c>
      <c r="U452" s="185">
        <v>2</v>
      </c>
      <c r="V452" s="185">
        <v>2</v>
      </c>
      <c r="W452" s="185">
        <v>2</v>
      </c>
      <c r="X452" s="185">
        <v>1</v>
      </c>
      <c r="Y452" s="185">
        <v>2</v>
      </c>
      <c r="Z452" s="185"/>
      <c r="AA452" s="185">
        <v>2</v>
      </c>
      <c r="AB452" s="185">
        <v>2</v>
      </c>
      <c r="AC452" s="185">
        <v>2</v>
      </c>
      <c r="AD452" s="185">
        <v>2</v>
      </c>
      <c r="AE452" s="185"/>
      <c r="AF452" s="185">
        <v>2</v>
      </c>
      <c r="AG452" s="185">
        <v>2</v>
      </c>
      <c r="AH452" s="185">
        <v>2</v>
      </c>
      <c r="AI452" s="185"/>
      <c r="AJ452" s="185">
        <v>2</v>
      </c>
      <c r="AK452" s="185">
        <v>1</v>
      </c>
      <c r="AL452" s="185">
        <v>2</v>
      </c>
      <c r="AM452" s="185">
        <v>2</v>
      </c>
      <c r="AN452" s="185"/>
      <c r="AO452" s="185">
        <v>2</v>
      </c>
      <c r="AP452" s="185">
        <v>2</v>
      </c>
      <c r="AQ452" s="185">
        <v>2</v>
      </c>
      <c r="AR452" s="185"/>
      <c r="AS452" s="185">
        <v>2</v>
      </c>
      <c r="AT452" s="185">
        <v>2</v>
      </c>
      <c r="AU452" s="185">
        <v>2</v>
      </c>
      <c r="AV452" s="185">
        <v>2</v>
      </c>
      <c r="AW452" s="185">
        <v>2</v>
      </c>
      <c r="AX452" s="185">
        <v>2</v>
      </c>
      <c r="AY452" s="185">
        <v>2</v>
      </c>
      <c r="AZ452" s="185">
        <v>2</v>
      </c>
      <c r="BA452" s="185">
        <v>2</v>
      </c>
      <c r="BB452" s="185">
        <v>2</v>
      </c>
      <c r="BC452" s="185">
        <v>2</v>
      </c>
      <c r="BD452" s="185">
        <v>2</v>
      </c>
      <c r="BE452" s="185">
        <v>2</v>
      </c>
      <c r="BF452" s="185">
        <v>2</v>
      </c>
      <c r="BG452" s="185">
        <v>2</v>
      </c>
      <c r="BH452" s="185">
        <v>2</v>
      </c>
      <c r="BI452" s="185">
        <v>2</v>
      </c>
      <c r="BJ452" s="185">
        <v>2</v>
      </c>
      <c r="BK452" s="185">
        <v>2</v>
      </c>
      <c r="BL452" s="185">
        <v>2</v>
      </c>
      <c r="BM452" s="185">
        <v>2</v>
      </c>
      <c r="BN452" s="185">
        <v>2</v>
      </c>
      <c r="BO452" s="185">
        <v>2</v>
      </c>
      <c r="BP452" s="185">
        <v>2</v>
      </c>
      <c r="BQ452" s="185">
        <v>2</v>
      </c>
      <c r="BR452" s="185">
        <v>2</v>
      </c>
      <c r="BS452" s="185">
        <v>2</v>
      </c>
      <c r="BT452" s="185">
        <v>2</v>
      </c>
      <c r="BU452" s="185">
        <v>2</v>
      </c>
      <c r="BV452" s="185">
        <v>2</v>
      </c>
      <c r="BW452" s="185">
        <v>2</v>
      </c>
      <c r="BX452" s="185">
        <v>2</v>
      </c>
      <c r="BY452" s="185">
        <v>2</v>
      </c>
      <c r="BZ452" s="185">
        <v>2</v>
      </c>
      <c r="CA452" s="185">
        <v>2</v>
      </c>
      <c r="CB452" s="185">
        <v>2</v>
      </c>
      <c r="CC452" s="185">
        <v>2</v>
      </c>
      <c r="CD452" s="185">
        <v>2</v>
      </c>
      <c r="CE452" s="185">
        <v>2</v>
      </c>
      <c r="CF452" s="185">
        <v>2</v>
      </c>
      <c r="CG452" s="185">
        <v>2</v>
      </c>
      <c r="CH452" s="185">
        <v>2</v>
      </c>
      <c r="CI452" s="185">
        <v>2</v>
      </c>
      <c r="CJ452" s="185">
        <v>2</v>
      </c>
      <c r="CK452" s="185">
        <v>2</v>
      </c>
      <c r="CL452" s="185">
        <v>2</v>
      </c>
      <c r="CM452" s="185"/>
      <c r="CN452" s="185">
        <v>2</v>
      </c>
      <c r="CO452" s="185">
        <v>2</v>
      </c>
      <c r="CP452" s="185">
        <v>2</v>
      </c>
      <c r="CQ452" s="185">
        <v>2</v>
      </c>
      <c r="CR452" s="185"/>
      <c r="CS452" s="185">
        <v>2</v>
      </c>
      <c r="CT452" s="185">
        <v>2</v>
      </c>
      <c r="CU452" s="185">
        <v>2</v>
      </c>
      <c r="CV452" s="185">
        <v>2</v>
      </c>
      <c r="CW452" s="185"/>
      <c r="CX452" s="185">
        <v>2</v>
      </c>
      <c r="CY452" s="185">
        <v>2</v>
      </c>
      <c r="CZ452" s="185">
        <v>2</v>
      </c>
      <c r="DA452" s="185">
        <v>2</v>
      </c>
      <c r="DB452" s="185">
        <v>2</v>
      </c>
      <c r="DC452" s="185">
        <v>2</v>
      </c>
      <c r="DD452" s="185">
        <v>2</v>
      </c>
      <c r="DE452" s="174">
        <f>DE6</f>
        <v>0</v>
      </c>
    </row>
    <row r="453" spans="5:109" ht="13.35" customHeight="1" x14ac:dyDescent="0.2">
      <c r="E453" s="174" t="s">
        <v>3515</v>
      </c>
      <c r="F453" s="185">
        <v>5</v>
      </c>
      <c r="G453" s="185">
        <v>4</v>
      </c>
      <c r="H453" s="185">
        <v>4</v>
      </c>
      <c r="I453" s="185">
        <v>5</v>
      </c>
      <c r="J453" s="185">
        <v>5</v>
      </c>
      <c r="K453" s="185">
        <v>5</v>
      </c>
      <c r="L453" s="185">
        <v>5</v>
      </c>
      <c r="M453" s="185">
        <v>5</v>
      </c>
      <c r="N453" s="185">
        <v>5</v>
      </c>
      <c r="O453" s="185">
        <v>5</v>
      </c>
      <c r="P453" s="185">
        <v>5</v>
      </c>
      <c r="Q453" s="185">
        <v>5</v>
      </c>
      <c r="R453" s="185">
        <v>4</v>
      </c>
      <c r="S453" s="185">
        <v>5</v>
      </c>
      <c r="T453" s="185">
        <v>6</v>
      </c>
      <c r="U453" s="185">
        <v>5</v>
      </c>
      <c r="V453" s="185">
        <v>5</v>
      </c>
      <c r="W453" s="185">
        <v>4</v>
      </c>
      <c r="X453" s="185">
        <v>2</v>
      </c>
      <c r="Y453" s="185">
        <v>4</v>
      </c>
      <c r="Z453" s="185"/>
      <c r="AA453" s="185">
        <v>5</v>
      </c>
      <c r="AB453" s="185">
        <v>5</v>
      </c>
      <c r="AC453" s="185">
        <v>5</v>
      </c>
      <c r="AD453" s="185">
        <v>5</v>
      </c>
      <c r="AE453" s="185"/>
      <c r="AF453" s="185">
        <v>5</v>
      </c>
      <c r="AG453" s="185">
        <v>5</v>
      </c>
      <c r="AH453" s="185">
        <v>5</v>
      </c>
      <c r="AI453" s="185"/>
      <c r="AJ453" s="185">
        <v>5</v>
      </c>
      <c r="AK453" s="185">
        <v>4</v>
      </c>
      <c r="AL453" s="185">
        <v>4</v>
      </c>
      <c r="AM453" s="185">
        <v>5</v>
      </c>
      <c r="AN453" s="185"/>
      <c r="AO453" s="185">
        <v>5</v>
      </c>
      <c r="AP453" s="185">
        <v>5</v>
      </c>
      <c r="AQ453" s="185">
        <v>5</v>
      </c>
      <c r="AR453" s="185"/>
      <c r="AS453" s="185">
        <v>5</v>
      </c>
      <c r="AT453" s="185">
        <v>5</v>
      </c>
      <c r="AU453" s="185">
        <v>5</v>
      </c>
      <c r="AV453" s="185">
        <v>5</v>
      </c>
      <c r="AW453" s="185">
        <v>5</v>
      </c>
      <c r="AX453" s="185">
        <v>5</v>
      </c>
      <c r="AY453" s="185">
        <v>5</v>
      </c>
      <c r="AZ453" s="185">
        <v>5</v>
      </c>
      <c r="BA453" s="185">
        <v>5</v>
      </c>
      <c r="BB453" s="185">
        <v>5</v>
      </c>
      <c r="BC453" s="185">
        <v>5</v>
      </c>
      <c r="BD453" s="185">
        <v>5</v>
      </c>
      <c r="BE453" s="185">
        <v>5</v>
      </c>
      <c r="BF453" s="185">
        <v>5</v>
      </c>
      <c r="BG453" s="185">
        <v>5</v>
      </c>
      <c r="BH453" s="185">
        <v>5</v>
      </c>
      <c r="BI453" s="185">
        <v>5</v>
      </c>
      <c r="BJ453" s="185">
        <v>5</v>
      </c>
      <c r="BK453" s="185">
        <v>5</v>
      </c>
      <c r="BL453" s="185">
        <v>5</v>
      </c>
      <c r="BM453" s="185">
        <v>5</v>
      </c>
      <c r="BN453" s="185">
        <v>5</v>
      </c>
      <c r="BO453" s="185">
        <v>5</v>
      </c>
      <c r="BP453" s="185">
        <v>5</v>
      </c>
      <c r="BQ453" s="185">
        <v>5</v>
      </c>
      <c r="BR453" s="185">
        <v>5</v>
      </c>
      <c r="BS453" s="185">
        <v>5</v>
      </c>
      <c r="BT453" s="185">
        <v>5</v>
      </c>
      <c r="BU453" s="185">
        <v>5</v>
      </c>
      <c r="BV453" s="185">
        <v>5</v>
      </c>
      <c r="BW453" s="185">
        <v>5</v>
      </c>
      <c r="BX453" s="185">
        <v>5</v>
      </c>
      <c r="BY453" s="185">
        <v>5</v>
      </c>
      <c r="BZ453" s="185">
        <v>5</v>
      </c>
      <c r="CA453" s="185">
        <v>5</v>
      </c>
      <c r="CB453" s="185">
        <v>5</v>
      </c>
      <c r="CC453" s="185">
        <v>5</v>
      </c>
      <c r="CD453" s="185">
        <v>5</v>
      </c>
      <c r="CE453" s="185">
        <v>5</v>
      </c>
      <c r="CF453" s="185">
        <v>5</v>
      </c>
      <c r="CG453" s="185">
        <v>5</v>
      </c>
      <c r="CH453" s="185">
        <v>5</v>
      </c>
      <c r="CI453" s="185">
        <v>5</v>
      </c>
      <c r="CJ453" s="185">
        <v>5</v>
      </c>
      <c r="CK453" s="185">
        <v>5</v>
      </c>
      <c r="CL453" s="185">
        <v>5</v>
      </c>
      <c r="CM453" s="185"/>
      <c r="CN453" s="185">
        <v>5</v>
      </c>
      <c r="CO453" s="185">
        <v>5</v>
      </c>
      <c r="CP453" s="185">
        <v>5</v>
      </c>
      <c r="CQ453" s="185">
        <v>5</v>
      </c>
      <c r="CR453" s="185"/>
      <c r="CS453" s="185">
        <v>5</v>
      </c>
      <c r="CT453" s="185">
        <v>5</v>
      </c>
      <c r="CU453" s="185">
        <v>5</v>
      </c>
      <c r="CV453" s="185">
        <v>4</v>
      </c>
      <c r="CW453" s="185"/>
      <c r="CX453" s="185">
        <v>5</v>
      </c>
      <c r="CY453" s="185">
        <v>5</v>
      </c>
      <c r="CZ453" s="185">
        <v>5</v>
      </c>
      <c r="DA453" s="185">
        <v>5</v>
      </c>
      <c r="DB453" s="185">
        <v>5</v>
      </c>
      <c r="DC453" s="185">
        <v>5</v>
      </c>
      <c r="DD453" s="185">
        <v>5</v>
      </c>
    </row>
    <row r="454" spans="5:109" ht="13.35" customHeight="1" x14ac:dyDescent="0.2">
      <c r="E454" s="174" t="s">
        <v>3516</v>
      </c>
      <c r="F454" s="185">
        <v>3</v>
      </c>
      <c r="G454" s="185">
        <v>3</v>
      </c>
      <c r="H454" s="185">
        <v>3</v>
      </c>
      <c r="I454" s="185">
        <v>3</v>
      </c>
      <c r="J454" s="185">
        <v>2</v>
      </c>
      <c r="K454" s="185">
        <v>2</v>
      </c>
      <c r="L454" s="185">
        <v>1</v>
      </c>
      <c r="M454" s="185">
        <v>2</v>
      </c>
      <c r="N454" s="185">
        <v>2</v>
      </c>
      <c r="O454" s="185">
        <v>2</v>
      </c>
      <c r="P454" s="185">
        <v>2</v>
      </c>
      <c r="Q454" s="185">
        <v>2</v>
      </c>
      <c r="R454" s="185">
        <v>1</v>
      </c>
      <c r="S454" s="185">
        <v>2</v>
      </c>
      <c r="T454" s="185">
        <v>3</v>
      </c>
      <c r="U454" s="185">
        <v>3</v>
      </c>
      <c r="V454" s="185">
        <v>3</v>
      </c>
      <c r="W454" s="185">
        <v>2</v>
      </c>
      <c r="X454" s="185">
        <v>1</v>
      </c>
      <c r="Y454" s="185">
        <v>1</v>
      </c>
      <c r="Z454" s="185"/>
      <c r="AA454" s="185">
        <v>2</v>
      </c>
      <c r="AB454" s="185">
        <v>2</v>
      </c>
      <c r="AC454" s="185">
        <v>3</v>
      </c>
      <c r="AD454" s="185">
        <v>3</v>
      </c>
      <c r="AE454" s="185"/>
      <c r="AF454" s="185">
        <v>1</v>
      </c>
      <c r="AG454" s="185">
        <v>2</v>
      </c>
      <c r="AH454" s="185">
        <v>3</v>
      </c>
      <c r="AI454" s="185"/>
      <c r="AJ454" s="185">
        <v>3</v>
      </c>
      <c r="AK454" s="185">
        <v>1</v>
      </c>
      <c r="AL454" s="185">
        <v>1</v>
      </c>
      <c r="AM454" s="185">
        <v>1</v>
      </c>
      <c r="AN454" s="185"/>
      <c r="AO454" s="185">
        <v>2</v>
      </c>
      <c r="AP454" s="185">
        <v>2</v>
      </c>
      <c r="AQ454" s="185">
        <v>3</v>
      </c>
      <c r="AR454" s="185"/>
      <c r="AS454" s="185">
        <v>2</v>
      </c>
      <c r="AT454" s="185">
        <v>2</v>
      </c>
      <c r="AU454" s="185">
        <v>2</v>
      </c>
      <c r="AV454" s="185">
        <v>2</v>
      </c>
      <c r="AW454" s="185">
        <v>2</v>
      </c>
      <c r="AX454" s="185">
        <v>2</v>
      </c>
      <c r="AY454" s="185">
        <v>2</v>
      </c>
      <c r="AZ454" s="185">
        <v>2</v>
      </c>
      <c r="BA454" s="185">
        <v>2</v>
      </c>
      <c r="BB454" s="185">
        <v>2</v>
      </c>
      <c r="BC454" s="185">
        <v>2</v>
      </c>
      <c r="BD454" s="185">
        <v>2</v>
      </c>
      <c r="BE454" s="185">
        <v>2</v>
      </c>
      <c r="BF454" s="185">
        <v>2</v>
      </c>
      <c r="BG454" s="185">
        <v>2</v>
      </c>
      <c r="BH454" s="185">
        <v>2</v>
      </c>
      <c r="BI454" s="185">
        <v>2</v>
      </c>
      <c r="BJ454" s="185">
        <v>2</v>
      </c>
      <c r="BK454" s="185">
        <v>2</v>
      </c>
      <c r="BL454" s="185">
        <v>2</v>
      </c>
      <c r="BM454" s="185">
        <v>2</v>
      </c>
      <c r="BN454" s="185">
        <v>2</v>
      </c>
      <c r="BO454" s="185">
        <v>2</v>
      </c>
      <c r="BP454" s="185">
        <v>2</v>
      </c>
      <c r="BQ454" s="185">
        <v>2</v>
      </c>
      <c r="BR454" s="185">
        <v>2</v>
      </c>
      <c r="BS454" s="185">
        <v>2</v>
      </c>
      <c r="BT454" s="185">
        <v>2</v>
      </c>
      <c r="BU454" s="185">
        <v>2</v>
      </c>
      <c r="BV454" s="185">
        <v>2</v>
      </c>
      <c r="BW454" s="185">
        <v>2</v>
      </c>
      <c r="BX454" s="185">
        <v>2</v>
      </c>
      <c r="BY454" s="185">
        <v>2</v>
      </c>
      <c r="BZ454" s="185">
        <v>2</v>
      </c>
      <c r="CA454" s="185">
        <v>2</v>
      </c>
      <c r="CB454" s="185">
        <v>2</v>
      </c>
      <c r="CC454" s="185">
        <v>2</v>
      </c>
      <c r="CD454" s="185">
        <v>2</v>
      </c>
      <c r="CE454" s="185">
        <v>2</v>
      </c>
      <c r="CF454" s="185">
        <v>2</v>
      </c>
      <c r="CG454" s="185">
        <v>2</v>
      </c>
      <c r="CH454" s="185">
        <v>2</v>
      </c>
      <c r="CI454" s="185">
        <v>2</v>
      </c>
      <c r="CJ454" s="185">
        <v>2</v>
      </c>
      <c r="CK454" s="185">
        <v>2</v>
      </c>
      <c r="CL454" s="185">
        <v>2</v>
      </c>
      <c r="CM454" s="185"/>
      <c r="CN454" s="185">
        <v>2</v>
      </c>
      <c r="CO454" s="185">
        <v>2</v>
      </c>
      <c r="CP454" s="185">
        <v>2</v>
      </c>
      <c r="CQ454" s="185">
        <v>2</v>
      </c>
      <c r="CR454" s="185"/>
      <c r="CS454" s="185">
        <v>4</v>
      </c>
      <c r="CT454" s="185">
        <v>2</v>
      </c>
      <c r="CU454" s="185">
        <v>1</v>
      </c>
      <c r="CV454" s="185">
        <v>2</v>
      </c>
      <c r="CW454" s="185"/>
      <c r="CX454" s="185">
        <v>3</v>
      </c>
      <c r="CY454" s="185">
        <v>2</v>
      </c>
      <c r="CZ454" s="185">
        <v>2</v>
      </c>
      <c r="DA454" s="185">
        <v>4</v>
      </c>
      <c r="DB454" s="185">
        <v>2</v>
      </c>
      <c r="DC454" s="185">
        <v>2</v>
      </c>
      <c r="DD454" s="185">
        <v>2</v>
      </c>
    </row>
    <row r="455" spans="5:109" ht="13.35" customHeight="1" x14ac:dyDescent="0.2">
      <c r="E455" s="174" t="s">
        <v>3517</v>
      </c>
      <c r="F455" s="185">
        <f t="shared" ref="F455:Y455" si="211">F454*2</f>
        <v>6</v>
      </c>
      <c r="G455" s="185">
        <f t="shared" si="211"/>
        <v>6</v>
      </c>
      <c r="H455" s="185">
        <f t="shared" si="211"/>
        <v>6</v>
      </c>
      <c r="I455" s="185">
        <f t="shared" si="211"/>
        <v>6</v>
      </c>
      <c r="J455" s="185">
        <f t="shared" si="211"/>
        <v>4</v>
      </c>
      <c r="K455" s="185">
        <f t="shared" si="211"/>
        <v>4</v>
      </c>
      <c r="L455" s="185">
        <f t="shared" si="211"/>
        <v>2</v>
      </c>
      <c r="M455" s="185">
        <f t="shared" si="211"/>
        <v>4</v>
      </c>
      <c r="N455" s="185">
        <f t="shared" si="211"/>
        <v>4</v>
      </c>
      <c r="O455" s="185">
        <f t="shared" si="211"/>
        <v>4</v>
      </c>
      <c r="P455" s="185">
        <f t="shared" si="211"/>
        <v>4</v>
      </c>
      <c r="Q455" s="185">
        <f t="shared" si="211"/>
        <v>4</v>
      </c>
      <c r="R455" s="185">
        <f t="shared" si="211"/>
        <v>2</v>
      </c>
      <c r="S455" s="185">
        <f t="shared" si="211"/>
        <v>4</v>
      </c>
      <c r="T455" s="185">
        <f t="shared" si="211"/>
        <v>6</v>
      </c>
      <c r="U455" s="185">
        <f t="shared" si="211"/>
        <v>6</v>
      </c>
      <c r="V455" s="185">
        <f t="shared" si="211"/>
        <v>6</v>
      </c>
      <c r="W455" s="185">
        <f t="shared" si="211"/>
        <v>4</v>
      </c>
      <c r="X455" s="185">
        <f t="shared" si="211"/>
        <v>2</v>
      </c>
      <c r="Y455" s="185">
        <f t="shared" si="211"/>
        <v>2</v>
      </c>
      <c r="Z455" s="185"/>
      <c r="AA455" s="185">
        <f>AA454*2</f>
        <v>4</v>
      </c>
      <c r="AB455" s="185">
        <f>AB454*2</f>
        <v>4</v>
      </c>
      <c r="AC455" s="185">
        <f>AC454*2</f>
        <v>6</v>
      </c>
      <c r="AD455" s="185">
        <f>AD454*2</f>
        <v>6</v>
      </c>
      <c r="AE455" s="185"/>
      <c r="AF455" s="185">
        <f>AF454*2</f>
        <v>2</v>
      </c>
      <c r="AG455" s="185">
        <f>AG454*2</f>
        <v>4</v>
      </c>
      <c r="AH455" s="185">
        <f>AH454*2</f>
        <v>6</v>
      </c>
      <c r="AI455" s="185"/>
      <c r="AJ455" s="185">
        <f>AJ454*2</f>
        <v>6</v>
      </c>
      <c r="AK455" s="185">
        <f>AK454*2</f>
        <v>2</v>
      </c>
      <c r="AL455" s="185">
        <f>AL454*2</f>
        <v>2</v>
      </c>
      <c r="AM455" s="185">
        <f>AM454*2</f>
        <v>2</v>
      </c>
      <c r="AN455" s="185"/>
      <c r="AO455" s="185">
        <f>AO454*2</f>
        <v>4</v>
      </c>
      <c r="AP455" s="185">
        <f>AP454*2</f>
        <v>4</v>
      </c>
      <c r="AQ455" s="185">
        <f>AQ454*2</f>
        <v>6</v>
      </c>
      <c r="AR455" s="185"/>
      <c r="AS455" s="185">
        <f t="shared" ref="AS455:BX455" si="212">AS454*2</f>
        <v>4</v>
      </c>
      <c r="AT455" s="185">
        <f t="shared" si="212"/>
        <v>4</v>
      </c>
      <c r="AU455" s="185">
        <f t="shared" si="212"/>
        <v>4</v>
      </c>
      <c r="AV455" s="185">
        <f t="shared" si="212"/>
        <v>4</v>
      </c>
      <c r="AW455" s="185">
        <f t="shared" si="212"/>
        <v>4</v>
      </c>
      <c r="AX455" s="185">
        <f t="shared" si="212"/>
        <v>4</v>
      </c>
      <c r="AY455" s="185">
        <f t="shared" si="212"/>
        <v>4</v>
      </c>
      <c r="AZ455" s="185">
        <f t="shared" si="212"/>
        <v>4</v>
      </c>
      <c r="BA455" s="185">
        <f t="shared" si="212"/>
        <v>4</v>
      </c>
      <c r="BB455" s="185">
        <f t="shared" si="212"/>
        <v>4</v>
      </c>
      <c r="BC455" s="185">
        <f t="shared" si="212"/>
        <v>4</v>
      </c>
      <c r="BD455" s="185">
        <f t="shared" si="212"/>
        <v>4</v>
      </c>
      <c r="BE455" s="185">
        <f t="shared" si="212"/>
        <v>4</v>
      </c>
      <c r="BF455" s="185">
        <f t="shared" si="212"/>
        <v>4</v>
      </c>
      <c r="BG455" s="185">
        <f t="shared" si="212"/>
        <v>4</v>
      </c>
      <c r="BH455" s="185">
        <f t="shared" si="212"/>
        <v>4</v>
      </c>
      <c r="BI455" s="185">
        <f t="shared" si="212"/>
        <v>4</v>
      </c>
      <c r="BJ455" s="185">
        <f t="shared" si="212"/>
        <v>4</v>
      </c>
      <c r="BK455" s="185">
        <f t="shared" si="212"/>
        <v>4</v>
      </c>
      <c r="BL455" s="185">
        <f t="shared" si="212"/>
        <v>4</v>
      </c>
      <c r="BM455" s="185">
        <f t="shared" si="212"/>
        <v>4</v>
      </c>
      <c r="BN455" s="185">
        <f t="shared" si="212"/>
        <v>4</v>
      </c>
      <c r="BO455" s="185">
        <f t="shared" si="212"/>
        <v>4</v>
      </c>
      <c r="BP455" s="185">
        <f t="shared" si="212"/>
        <v>4</v>
      </c>
      <c r="BQ455" s="185">
        <f t="shared" si="212"/>
        <v>4</v>
      </c>
      <c r="BR455" s="185">
        <f t="shared" si="212"/>
        <v>4</v>
      </c>
      <c r="BS455" s="185">
        <f t="shared" si="212"/>
        <v>4</v>
      </c>
      <c r="BT455" s="185">
        <f t="shared" si="212"/>
        <v>4</v>
      </c>
      <c r="BU455" s="185">
        <f t="shared" si="212"/>
        <v>4</v>
      </c>
      <c r="BV455" s="185">
        <f t="shared" si="212"/>
        <v>4</v>
      </c>
      <c r="BW455" s="185">
        <f t="shared" si="212"/>
        <v>4</v>
      </c>
      <c r="BX455" s="185">
        <f t="shared" si="212"/>
        <v>4</v>
      </c>
      <c r="BY455" s="185">
        <f t="shared" ref="BY455:CQ455" si="213">BY454*2</f>
        <v>4</v>
      </c>
      <c r="BZ455" s="185">
        <f t="shared" si="213"/>
        <v>4</v>
      </c>
      <c r="CA455" s="185">
        <f t="shared" si="213"/>
        <v>4</v>
      </c>
      <c r="CB455" s="185">
        <f t="shared" si="213"/>
        <v>4</v>
      </c>
      <c r="CC455" s="185">
        <f t="shared" si="213"/>
        <v>4</v>
      </c>
      <c r="CD455" s="185">
        <f t="shared" si="213"/>
        <v>4</v>
      </c>
      <c r="CE455" s="185">
        <f t="shared" si="213"/>
        <v>4</v>
      </c>
      <c r="CF455" s="185">
        <f t="shared" si="213"/>
        <v>4</v>
      </c>
      <c r="CG455" s="185">
        <f t="shared" si="213"/>
        <v>4</v>
      </c>
      <c r="CH455" s="185">
        <f t="shared" si="213"/>
        <v>4</v>
      </c>
      <c r="CI455" s="185">
        <f t="shared" si="213"/>
        <v>4</v>
      </c>
      <c r="CJ455" s="185">
        <f t="shared" si="213"/>
        <v>4</v>
      </c>
      <c r="CK455" s="185">
        <f t="shared" si="213"/>
        <v>4</v>
      </c>
      <c r="CL455" s="185">
        <f t="shared" si="213"/>
        <v>4</v>
      </c>
      <c r="CM455" s="185"/>
      <c r="CN455" s="185">
        <f t="shared" si="213"/>
        <v>4</v>
      </c>
      <c r="CO455" s="185">
        <f t="shared" si="213"/>
        <v>4</v>
      </c>
      <c r="CP455" s="185">
        <f t="shared" si="213"/>
        <v>4</v>
      </c>
      <c r="CQ455" s="185">
        <f t="shared" si="213"/>
        <v>4</v>
      </c>
      <c r="CR455" s="185"/>
      <c r="CS455" s="185">
        <f>CS454*2</f>
        <v>8</v>
      </c>
      <c r="CT455" s="185">
        <f>CT454*2</f>
        <v>4</v>
      </c>
      <c r="CU455" s="185">
        <f>CU454*2</f>
        <v>2</v>
      </c>
      <c r="CV455" s="185">
        <f>CV454*2</f>
        <v>4</v>
      </c>
      <c r="CW455" s="185"/>
      <c r="CX455" s="185">
        <f t="shared" ref="CX455:DD455" si="214">CX454*2</f>
        <v>6</v>
      </c>
      <c r="CY455" s="185">
        <f t="shared" si="214"/>
        <v>4</v>
      </c>
      <c r="CZ455" s="185">
        <f t="shared" si="214"/>
        <v>4</v>
      </c>
      <c r="DA455" s="185">
        <f t="shared" si="214"/>
        <v>8</v>
      </c>
      <c r="DB455" s="185">
        <f t="shared" si="214"/>
        <v>4</v>
      </c>
      <c r="DC455" s="185">
        <f t="shared" si="214"/>
        <v>4</v>
      </c>
      <c r="DD455" s="185">
        <f t="shared" si="214"/>
        <v>4</v>
      </c>
    </row>
    <row r="456" spans="5:109" ht="13.35" customHeight="1" x14ac:dyDescent="0.2">
      <c r="E456" s="174" t="s">
        <v>3518</v>
      </c>
      <c r="F456" s="185">
        <f t="shared" ref="F456:Y456" si="215">F454*3</f>
        <v>9</v>
      </c>
      <c r="G456" s="185">
        <f t="shared" si="215"/>
        <v>9</v>
      </c>
      <c r="H456" s="185">
        <f t="shared" si="215"/>
        <v>9</v>
      </c>
      <c r="I456" s="185">
        <f t="shared" si="215"/>
        <v>9</v>
      </c>
      <c r="J456" s="185">
        <f t="shared" si="215"/>
        <v>6</v>
      </c>
      <c r="K456" s="185">
        <f t="shared" si="215"/>
        <v>6</v>
      </c>
      <c r="L456" s="185">
        <f t="shared" si="215"/>
        <v>3</v>
      </c>
      <c r="M456" s="185">
        <f t="shared" si="215"/>
        <v>6</v>
      </c>
      <c r="N456" s="185">
        <f t="shared" si="215"/>
        <v>6</v>
      </c>
      <c r="O456" s="185">
        <f t="shared" si="215"/>
        <v>6</v>
      </c>
      <c r="P456" s="185">
        <f t="shared" si="215"/>
        <v>6</v>
      </c>
      <c r="Q456" s="185">
        <f t="shared" si="215"/>
        <v>6</v>
      </c>
      <c r="R456" s="185">
        <f t="shared" si="215"/>
        <v>3</v>
      </c>
      <c r="S456" s="185">
        <f t="shared" si="215"/>
        <v>6</v>
      </c>
      <c r="T456" s="185">
        <f t="shared" si="215"/>
        <v>9</v>
      </c>
      <c r="U456" s="185">
        <f t="shared" si="215"/>
        <v>9</v>
      </c>
      <c r="V456" s="185">
        <f t="shared" si="215"/>
        <v>9</v>
      </c>
      <c r="W456" s="185">
        <f t="shared" si="215"/>
        <v>6</v>
      </c>
      <c r="X456" s="185">
        <f t="shared" si="215"/>
        <v>3</v>
      </c>
      <c r="Y456" s="185">
        <f t="shared" si="215"/>
        <v>3</v>
      </c>
      <c r="Z456" s="185"/>
      <c r="AA456" s="185">
        <f>AA454*3</f>
        <v>6</v>
      </c>
      <c r="AB456" s="185">
        <f>AB454*3</f>
        <v>6</v>
      </c>
      <c r="AC456" s="185">
        <f>AC454*3</f>
        <v>9</v>
      </c>
      <c r="AD456" s="185">
        <f>AD454*3</f>
        <v>9</v>
      </c>
      <c r="AE456" s="185"/>
      <c r="AF456" s="185">
        <f>AF454*3</f>
        <v>3</v>
      </c>
      <c r="AG456" s="185">
        <f>AG454*3</f>
        <v>6</v>
      </c>
      <c r="AH456" s="185">
        <f>AH454*3</f>
        <v>9</v>
      </c>
      <c r="AI456" s="185"/>
      <c r="AJ456" s="185">
        <f>AJ454*3</f>
        <v>9</v>
      </c>
      <c r="AK456" s="185">
        <f>AK454*3</f>
        <v>3</v>
      </c>
      <c r="AL456" s="185">
        <f>AL454*3</f>
        <v>3</v>
      </c>
      <c r="AM456" s="185">
        <f>AM454*3</f>
        <v>3</v>
      </c>
      <c r="AN456" s="185"/>
      <c r="AO456" s="185">
        <f>AO454*3</f>
        <v>6</v>
      </c>
      <c r="AP456" s="185">
        <f>AP454*3</f>
        <v>6</v>
      </c>
      <c r="AQ456" s="185">
        <f>AQ454*3</f>
        <v>9</v>
      </c>
      <c r="AR456" s="185"/>
      <c r="AS456" s="185">
        <f t="shared" ref="AS456:BX456" si="216">AS454*3</f>
        <v>6</v>
      </c>
      <c r="AT456" s="185">
        <f t="shared" si="216"/>
        <v>6</v>
      </c>
      <c r="AU456" s="185">
        <f t="shared" si="216"/>
        <v>6</v>
      </c>
      <c r="AV456" s="185">
        <f t="shared" si="216"/>
        <v>6</v>
      </c>
      <c r="AW456" s="185">
        <f t="shared" si="216"/>
        <v>6</v>
      </c>
      <c r="AX456" s="185">
        <f t="shared" si="216"/>
        <v>6</v>
      </c>
      <c r="AY456" s="185">
        <f t="shared" si="216"/>
        <v>6</v>
      </c>
      <c r="AZ456" s="185">
        <f t="shared" si="216"/>
        <v>6</v>
      </c>
      <c r="BA456" s="185">
        <f t="shared" si="216"/>
        <v>6</v>
      </c>
      <c r="BB456" s="185">
        <f t="shared" si="216"/>
        <v>6</v>
      </c>
      <c r="BC456" s="185">
        <f t="shared" si="216"/>
        <v>6</v>
      </c>
      <c r="BD456" s="185">
        <f t="shared" si="216"/>
        <v>6</v>
      </c>
      <c r="BE456" s="185">
        <f t="shared" si="216"/>
        <v>6</v>
      </c>
      <c r="BF456" s="185">
        <f t="shared" si="216"/>
        <v>6</v>
      </c>
      <c r="BG456" s="185">
        <f t="shared" si="216"/>
        <v>6</v>
      </c>
      <c r="BH456" s="185">
        <f t="shared" si="216"/>
        <v>6</v>
      </c>
      <c r="BI456" s="185">
        <f t="shared" si="216"/>
        <v>6</v>
      </c>
      <c r="BJ456" s="185">
        <f t="shared" si="216"/>
        <v>6</v>
      </c>
      <c r="BK456" s="185">
        <f t="shared" si="216"/>
        <v>6</v>
      </c>
      <c r="BL456" s="185">
        <f t="shared" si="216"/>
        <v>6</v>
      </c>
      <c r="BM456" s="185">
        <f t="shared" si="216"/>
        <v>6</v>
      </c>
      <c r="BN456" s="185">
        <f t="shared" si="216"/>
        <v>6</v>
      </c>
      <c r="BO456" s="185">
        <f t="shared" si="216"/>
        <v>6</v>
      </c>
      <c r="BP456" s="185">
        <f t="shared" si="216"/>
        <v>6</v>
      </c>
      <c r="BQ456" s="185">
        <f t="shared" si="216"/>
        <v>6</v>
      </c>
      <c r="BR456" s="185">
        <f t="shared" si="216"/>
        <v>6</v>
      </c>
      <c r="BS456" s="185">
        <f t="shared" si="216"/>
        <v>6</v>
      </c>
      <c r="BT456" s="185">
        <f t="shared" si="216"/>
        <v>6</v>
      </c>
      <c r="BU456" s="185">
        <f t="shared" si="216"/>
        <v>6</v>
      </c>
      <c r="BV456" s="185">
        <f t="shared" si="216"/>
        <v>6</v>
      </c>
      <c r="BW456" s="185">
        <f t="shared" si="216"/>
        <v>6</v>
      </c>
      <c r="BX456" s="185">
        <f t="shared" si="216"/>
        <v>6</v>
      </c>
      <c r="BY456" s="185">
        <f t="shared" ref="BY456:CQ456" si="217">BY454*3</f>
        <v>6</v>
      </c>
      <c r="BZ456" s="185">
        <f t="shared" si="217"/>
        <v>6</v>
      </c>
      <c r="CA456" s="185">
        <f t="shared" si="217"/>
        <v>6</v>
      </c>
      <c r="CB456" s="185">
        <f t="shared" si="217"/>
        <v>6</v>
      </c>
      <c r="CC456" s="185">
        <f t="shared" si="217"/>
        <v>6</v>
      </c>
      <c r="CD456" s="185">
        <f t="shared" si="217"/>
        <v>6</v>
      </c>
      <c r="CE456" s="185">
        <f t="shared" si="217"/>
        <v>6</v>
      </c>
      <c r="CF456" s="185">
        <f t="shared" si="217"/>
        <v>6</v>
      </c>
      <c r="CG456" s="185">
        <f t="shared" si="217"/>
        <v>6</v>
      </c>
      <c r="CH456" s="185">
        <f t="shared" si="217"/>
        <v>6</v>
      </c>
      <c r="CI456" s="185">
        <f t="shared" si="217"/>
        <v>6</v>
      </c>
      <c r="CJ456" s="185">
        <f t="shared" si="217"/>
        <v>6</v>
      </c>
      <c r="CK456" s="185">
        <f t="shared" si="217"/>
        <v>6</v>
      </c>
      <c r="CL456" s="185">
        <f t="shared" si="217"/>
        <v>6</v>
      </c>
      <c r="CM456" s="185"/>
      <c r="CN456" s="185">
        <f t="shared" si="217"/>
        <v>6</v>
      </c>
      <c r="CO456" s="185">
        <f t="shared" si="217"/>
        <v>6</v>
      </c>
      <c r="CP456" s="185">
        <f t="shared" si="217"/>
        <v>6</v>
      </c>
      <c r="CQ456" s="185">
        <f t="shared" si="217"/>
        <v>6</v>
      </c>
      <c r="CR456" s="185"/>
      <c r="CS456" s="185">
        <f>CS454*3</f>
        <v>12</v>
      </c>
      <c r="CT456" s="185">
        <f>CT454*3</f>
        <v>6</v>
      </c>
      <c r="CU456" s="185">
        <f>CU454*3</f>
        <v>3</v>
      </c>
      <c r="CV456" s="185">
        <f>CV454*3</f>
        <v>6</v>
      </c>
      <c r="CW456" s="185"/>
      <c r="CX456" s="185">
        <f t="shared" ref="CX456:DD456" si="218">CX454*3</f>
        <v>9</v>
      </c>
      <c r="CY456" s="185">
        <f t="shared" si="218"/>
        <v>6</v>
      </c>
      <c r="CZ456" s="185">
        <f t="shared" si="218"/>
        <v>6</v>
      </c>
      <c r="DA456" s="185">
        <f t="shared" si="218"/>
        <v>12</v>
      </c>
      <c r="DB456" s="185">
        <f t="shared" si="218"/>
        <v>6</v>
      </c>
      <c r="DC456" s="185">
        <f t="shared" si="218"/>
        <v>6</v>
      </c>
      <c r="DD456" s="185">
        <f t="shared" si="218"/>
        <v>6</v>
      </c>
    </row>
    <row r="458" spans="5:109" ht="13.35" customHeight="1" x14ac:dyDescent="0.2">
      <c r="F458" s="185">
        <f>SMALL($F$452:$F$456,1)</f>
        <v>2</v>
      </c>
      <c r="G458" s="185">
        <f t="shared" ref="G458:Y458" si="219">SMALL(G452:G456,1)</f>
        <v>2</v>
      </c>
      <c r="H458" s="185">
        <f t="shared" si="219"/>
        <v>2</v>
      </c>
      <c r="I458" s="185">
        <f t="shared" si="219"/>
        <v>2</v>
      </c>
      <c r="J458" s="185">
        <f t="shared" si="219"/>
        <v>2</v>
      </c>
      <c r="K458" s="185">
        <f t="shared" si="219"/>
        <v>2</v>
      </c>
      <c r="L458" s="185">
        <f t="shared" si="219"/>
        <v>1</v>
      </c>
      <c r="M458" s="185">
        <f t="shared" si="219"/>
        <v>2</v>
      </c>
      <c r="N458" s="185">
        <f t="shared" si="219"/>
        <v>2</v>
      </c>
      <c r="O458" s="185">
        <f t="shared" si="219"/>
        <v>2</v>
      </c>
      <c r="P458" s="185">
        <f t="shared" si="219"/>
        <v>2</v>
      </c>
      <c r="Q458" s="185">
        <f t="shared" si="219"/>
        <v>2</v>
      </c>
      <c r="R458" s="185">
        <f t="shared" si="219"/>
        <v>1</v>
      </c>
      <c r="S458" s="185">
        <f t="shared" si="219"/>
        <v>2</v>
      </c>
      <c r="T458" s="185">
        <f t="shared" si="219"/>
        <v>2</v>
      </c>
      <c r="U458" s="185">
        <f t="shared" si="219"/>
        <v>2</v>
      </c>
      <c r="V458" s="185">
        <f t="shared" si="219"/>
        <v>2</v>
      </c>
      <c r="W458" s="185">
        <f t="shared" si="219"/>
        <v>2</v>
      </c>
      <c r="X458" s="185">
        <f t="shared" si="219"/>
        <v>1</v>
      </c>
      <c r="Y458" s="185">
        <f t="shared" si="219"/>
        <v>1</v>
      </c>
      <c r="Z458" s="185"/>
      <c r="AA458" s="185">
        <f>SMALL(AA452:AA456,1)</f>
        <v>2</v>
      </c>
      <c r="AB458" s="185">
        <f>SMALL(AB452:AB456,1)</f>
        <v>2</v>
      </c>
      <c r="AC458" s="185">
        <f>SMALL(AC452:AC456,1)</f>
        <v>2</v>
      </c>
      <c r="AD458" s="185">
        <f>SMALL(AD452:AD456,1)</f>
        <v>2</v>
      </c>
      <c r="AE458" s="185"/>
      <c r="AF458" s="185">
        <f>SMALL(AF452:AF456,1)</f>
        <v>1</v>
      </c>
      <c r="AG458" s="185">
        <f>SMALL(AG452:AG456,1)</f>
        <v>2</v>
      </c>
      <c r="AH458" s="185">
        <f>SMALL(AH452:AH456,1)</f>
        <v>2</v>
      </c>
      <c r="AI458" s="185"/>
      <c r="AJ458" s="185">
        <f>SMALL(AJ452:AJ456,1)</f>
        <v>2</v>
      </c>
      <c r="AK458" s="185">
        <f>SMALL(AK452:AK456,1)</f>
        <v>1</v>
      </c>
      <c r="AL458" s="185">
        <f>SMALL(AL452:AL456,1)</f>
        <v>1</v>
      </c>
      <c r="AM458" s="185">
        <f>SMALL(AM452:AM456,1)</f>
        <v>1</v>
      </c>
      <c r="AN458" s="185"/>
      <c r="AO458" s="185">
        <f>SMALL(AO452:AO456,1)</f>
        <v>2</v>
      </c>
      <c r="AP458" s="185">
        <f>SMALL(AP452:AP456,1)</f>
        <v>2</v>
      </c>
      <c r="AQ458" s="185">
        <f>SMALL(AQ452:AQ456,1)</f>
        <v>2</v>
      </c>
      <c r="AR458" s="185"/>
      <c r="AS458" s="185">
        <f t="shared" ref="AS458:BX458" si="220">SMALL(AS452:AS456,1)</f>
        <v>2</v>
      </c>
      <c r="AT458" s="185">
        <f t="shared" si="220"/>
        <v>2</v>
      </c>
      <c r="AU458" s="185">
        <f t="shared" si="220"/>
        <v>2</v>
      </c>
      <c r="AV458" s="185">
        <f t="shared" si="220"/>
        <v>2</v>
      </c>
      <c r="AW458" s="185">
        <f t="shared" si="220"/>
        <v>2</v>
      </c>
      <c r="AX458" s="185">
        <f t="shared" si="220"/>
        <v>2</v>
      </c>
      <c r="AY458" s="185">
        <f t="shared" si="220"/>
        <v>2</v>
      </c>
      <c r="AZ458" s="185">
        <f t="shared" si="220"/>
        <v>2</v>
      </c>
      <c r="BA458" s="185">
        <f t="shared" si="220"/>
        <v>2</v>
      </c>
      <c r="BB458" s="185">
        <f t="shared" si="220"/>
        <v>2</v>
      </c>
      <c r="BC458" s="185">
        <f t="shared" si="220"/>
        <v>2</v>
      </c>
      <c r="BD458" s="185">
        <f t="shared" si="220"/>
        <v>2</v>
      </c>
      <c r="BE458" s="185">
        <f t="shared" si="220"/>
        <v>2</v>
      </c>
      <c r="BF458" s="185">
        <f t="shared" si="220"/>
        <v>2</v>
      </c>
      <c r="BG458" s="185">
        <f t="shared" si="220"/>
        <v>2</v>
      </c>
      <c r="BH458" s="185">
        <f t="shared" si="220"/>
        <v>2</v>
      </c>
      <c r="BI458" s="185">
        <f t="shared" si="220"/>
        <v>2</v>
      </c>
      <c r="BJ458" s="185">
        <f t="shared" si="220"/>
        <v>2</v>
      </c>
      <c r="BK458" s="185">
        <f t="shared" si="220"/>
        <v>2</v>
      </c>
      <c r="BL458" s="185">
        <f t="shared" si="220"/>
        <v>2</v>
      </c>
      <c r="BM458" s="185">
        <f t="shared" si="220"/>
        <v>2</v>
      </c>
      <c r="BN458" s="185">
        <f t="shared" si="220"/>
        <v>2</v>
      </c>
      <c r="BO458" s="185">
        <f t="shared" si="220"/>
        <v>2</v>
      </c>
      <c r="BP458" s="185">
        <f t="shared" si="220"/>
        <v>2</v>
      </c>
      <c r="BQ458" s="185">
        <f t="shared" si="220"/>
        <v>2</v>
      </c>
      <c r="BR458" s="185">
        <f t="shared" si="220"/>
        <v>2</v>
      </c>
      <c r="BS458" s="185">
        <f t="shared" si="220"/>
        <v>2</v>
      </c>
      <c r="BT458" s="185">
        <f t="shared" si="220"/>
        <v>2</v>
      </c>
      <c r="BU458" s="185">
        <f t="shared" si="220"/>
        <v>2</v>
      </c>
      <c r="BV458" s="185">
        <f t="shared" si="220"/>
        <v>2</v>
      </c>
      <c r="BW458" s="185">
        <f t="shared" si="220"/>
        <v>2</v>
      </c>
      <c r="BX458" s="185">
        <f t="shared" si="220"/>
        <v>2</v>
      </c>
      <c r="BY458" s="185">
        <f t="shared" ref="BY458:CQ458" si="221">SMALL(BY452:BY456,1)</f>
        <v>2</v>
      </c>
      <c r="BZ458" s="185">
        <f t="shared" si="221"/>
        <v>2</v>
      </c>
      <c r="CA458" s="185">
        <f t="shared" si="221"/>
        <v>2</v>
      </c>
      <c r="CB458" s="185">
        <f t="shared" si="221"/>
        <v>2</v>
      </c>
      <c r="CC458" s="185">
        <f t="shared" si="221"/>
        <v>2</v>
      </c>
      <c r="CD458" s="185">
        <f t="shared" si="221"/>
        <v>2</v>
      </c>
      <c r="CE458" s="185">
        <f t="shared" si="221"/>
        <v>2</v>
      </c>
      <c r="CF458" s="185">
        <f t="shared" si="221"/>
        <v>2</v>
      </c>
      <c r="CG458" s="185">
        <f t="shared" si="221"/>
        <v>2</v>
      </c>
      <c r="CH458" s="185">
        <f t="shared" si="221"/>
        <v>2</v>
      </c>
      <c r="CI458" s="185">
        <f t="shared" si="221"/>
        <v>2</v>
      </c>
      <c r="CJ458" s="185">
        <f t="shared" si="221"/>
        <v>2</v>
      </c>
      <c r="CK458" s="185">
        <f t="shared" si="221"/>
        <v>2</v>
      </c>
      <c r="CL458" s="185">
        <f t="shared" si="221"/>
        <v>2</v>
      </c>
      <c r="CM458" s="185"/>
      <c r="CN458" s="185">
        <f t="shared" si="221"/>
        <v>2</v>
      </c>
      <c r="CO458" s="185">
        <f t="shared" si="221"/>
        <v>2</v>
      </c>
      <c r="CP458" s="185">
        <f t="shared" si="221"/>
        <v>2</v>
      </c>
      <c r="CQ458" s="185">
        <f t="shared" si="221"/>
        <v>2</v>
      </c>
      <c r="CR458" s="185"/>
      <c r="CS458" s="185">
        <f>SMALL(CS452:CS456,1)</f>
        <v>2</v>
      </c>
      <c r="CT458" s="185">
        <f>SMALL(CT452:CT456,1)</f>
        <v>2</v>
      </c>
      <c r="CU458" s="185">
        <f>SMALL(CU452:CU456,1)</f>
        <v>1</v>
      </c>
      <c r="CV458" s="185">
        <f>SMALL(CV452:CV456,1)</f>
        <v>2</v>
      </c>
      <c r="CW458" s="185"/>
      <c r="CX458" s="185">
        <f t="shared" ref="CX458:DD458" si="222">SMALL(CX452:CX456,1)</f>
        <v>2</v>
      </c>
      <c r="CY458" s="185">
        <f t="shared" si="222"/>
        <v>2</v>
      </c>
      <c r="CZ458" s="185">
        <f t="shared" si="222"/>
        <v>2</v>
      </c>
      <c r="DA458" s="185">
        <f t="shared" si="222"/>
        <v>2</v>
      </c>
      <c r="DB458" s="185">
        <f t="shared" si="222"/>
        <v>2</v>
      </c>
      <c r="DC458" s="185">
        <f t="shared" si="222"/>
        <v>2</v>
      </c>
      <c r="DD458" s="185">
        <f t="shared" si="222"/>
        <v>2</v>
      </c>
      <c r="DE458" s="185"/>
    </row>
    <row r="459" spans="5:109" ht="13.35" customHeight="1" x14ac:dyDescent="0.2">
      <c r="F459" s="185">
        <f t="shared" ref="F459:Y459" si="223">SMALL(F452:F456,2)</f>
        <v>3</v>
      </c>
      <c r="G459" s="185">
        <f t="shared" si="223"/>
        <v>3</v>
      </c>
      <c r="H459" s="185">
        <f t="shared" si="223"/>
        <v>3</v>
      </c>
      <c r="I459" s="185">
        <f t="shared" si="223"/>
        <v>3</v>
      </c>
      <c r="J459" s="185">
        <f t="shared" si="223"/>
        <v>2</v>
      </c>
      <c r="K459" s="185">
        <f t="shared" si="223"/>
        <v>2</v>
      </c>
      <c r="L459" s="185">
        <f t="shared" si="223"/>
        <v>1</v>
      </c>
      <c r="M459" s="185">
        <f t="shared" si="223"/>
        <v>2</v>
      </c>
      <c r="N459" s="185">
        <f t="shared" si="223"/>
        <v>2</v>
      </c>
      <c r="O459" s="185">
        <f t="shared" si="223"/>
        <v>2</v>
      </c>
      <c r="P459" s="185">
        <f t="shared" si="223"/>
        <v>2</v>
      </c>
      <c r="Q459" s="185">
        <f t="shared" si="223"/>
        <v>2</v>
      </c>
      <c r="R459" s="185">
        <f t="shared" si="223"/>
        <v>1</v>
      </c>
      <c r="S459" s="185">
        <f t="shared" si="223"/>
        <v>2</v>
      </c>
      <c r="T459" s="185">
        <f t="shared" si="223"/>
        <v>3</v>
      </c>
      <c r="U459" s="185">
        <f t="shared" si="223"/>
        <v>3</v>
      </c>
      <c r="V459" s="185">
        <f t="shared" si="223"/>
        <v>3</v>
      </c>
      <c r="W459" s="185">
        <f t="shared" si="223"/>
        <v>2</v>
      </c>
      <c r="X459" s="185">
        <f t="shared" si="223"/>
        <v>1</v>
      </c>
      <c r="Y459" s="185">
        <f t="shared" si="223"/>
        <v>2</v>
      </c>
      <c r="Z459" s="185"/>
      <c r="AA459" s="185">
        <f>SMALL(AA452:AA456,2)</f>
        <v>2</v>
      </c>
      <c r="AB459" s="185">
        <f>SMALL(AB452:AB456,2)</f>
        <v>2</v>
      </c>
      <c r="AC459" s="185">
        <f>SMALL(AC452:AC456,2)</f>
        <v>3</v>
      </c>
      <c r="AD459" s="185">
        <f>SMALL(AD452:AD456,2)</f>
        <v>3</v>
      </c>
      <c r="AE459" s="185"/>
      <c r="AF459" s="185">
        <f>SMALL(AF452:AF456,2)</f>
        <v>2</v>
      </c>
      <c r="AG459" s="185">
        <f>SMALL(AG452:AG456,2)</f>
        <v>2</v>
      </c>
      <c r="AH459" s="185">
        <f>SMALL(AH452:AH456,2)</f>
        <v>3</v>
      </c>
      <c r="AI459" s="185"/>
      <c r="AJ459" s="185">
        <f>SMALL(AJ452:AJ456,2)</f>
        <v>3</v>
      </c>
      <c r="AK459" s="185">
        <f>SMALL(AK452:AK456,2)</f>
        <v>1</v>
      </c>
      <c r="AL459" s="185">
        <f>SMALL(AL452:AL456,2)</f>
        <v>2</v>
      </c>
      <c r="AM459" s="185">
        <f>SMALL(AM452:AM456,2)</f>
        <v>2</v>
      </c>
      <c r="AN459" s="185"/>
      <c r="AO459" s="185">
        <f>SMALL(AO452:AO456,2)</f>
        <v>2</v>
      </c>
      <c r="AP459" s="185">
        <f>SMALL(AP452:AP456,2)</f>
        <v>2</v>
      </c>
      <c r="AQ459" s="185">
        <f>SMALL(AQ452:AQ456,2)</f>
        <v>3</v>
      </c>
      <c r="AR459" s="185"/>
      <c r="AS459" s="185">
        <f t="shared" ref="AS459:BX459" si="224">SMALL(AS452:AS456,2)</f>
        <v>2</v>
      </c>
      <c r="AT459" s="185">
        <f t="shared" si="224"/>
        <v>2</v>
      </c>
      <c r="AU459" s="185">
        <f t="shared" si="224"/>
        <v>2</v>
      </c>
      <c r="AV459" s="185">
        <f t="shared" si="224"/>
        <v>2</v>
      </c>
      <c r="AW459" s="185">
        <f t="shared" si="224"/>
        <v>2</v>
      </c>
      <c r="AX459" s="185">
        <f t="shared" si="224"/>
        <v>2</v>
      </c>
      <c r="AY459" s="185">
        <f t="shared" si="224"/>
        <v>2</v>
      </c>
      <c r="AZ459" s="185">
        <f t="shared" si="224"/>
        <v>2</v>
      </c>
      <c r="BA459" s="185">
        <f t="shared" si="224"/>
        <v>2</v>
      </c>
      <c r="BB459" s="185">
        <f t="shared" si="224"/>
        <v>2</v>
      </c>
      <c r="BC459" s="185">
        <f t="shared" si="224"/>
        <v>2</v>
      </c>
      <c r="BD459" s="185">
        <f t="shared" si="224"/>
        <v>2</v>
      </c>
      <c r="BE459" s="185">
        <f t="shared" si="224"/>
        <v>2</v>
      </c>
      <c r="BF459" s="185">
        <f t="shared" si="224"/>
        <v>2</v>
      </c>
      <c r="BG459" s="185">
        <f t="shared" si="224"/>
        <v>2</v>
      </c>
      <c r="BH459" s="185">
        <f t="shared" si="224"/>
        <v>2</v>
      </c>
      <c r="BI459" s="185">
        <f t="shared" si="224"/>
        <v>2</v>
      </c>
      <c r="BJ459" s="185">
        <f t="shared" si="224"/>
        <v>2</v>
      </c>
      <c r="BK459" s="185">
        <f t="shared" si="224"/>
        <v>2</v>
      </c>
      <c r="BL459" s="185">
        <f t="shared" si="224"/>
        <v>2</v>
      </c>
      <c r="BM459" s="185">
        <f t="shared" si="224"/>
        <v>2</v>
      </c>
      <c r="BN459" s="185">
        <f t="shared" si="224"/>
        <v>2</v>
      </c>
      <c r="BO459" s="185">
        <f t="shared" si="224"/>
        <v>2</v>
      </c>
      <c r="BP459" s="185">
        <f t="shared" si="224"/>
        <v>2</v>
      </c>
      <c r="BQ459" s="185">
        <f t="shared" si="224"/>
        <v>2</v>
      </c>
      <c r="BR459" s="185">
        <f t="shared" si="224"/>
        <v>2</v>
      </c>
      <c r="BS459" s="185">
        <f t="shared" si="224"/>
        <v>2</v>
      </c>
      <c r="BT459" s="185">
        <f t="shared" si="224"/>
        <v>2</v>
      </c>
      <c r="BU459" s="185">
        <f t="shared" si="224"/>
        <v>2</v>
      </c>
      <c r="BV459" s="185">
        <f t="shared" si="224"/>
        <v>2</v>
      </c>
      <c r="BW459" s="185">
        <f t="shared" si="224"/>
        <v>2</v>
      </c>
      <c r="BX459" s="185">
        <f t="shared" si="224"/>
        <v>2</v>
      </c>
      <c r="BY459" s="185">
        <f t="shared" ref="BY459:CQ459" si="225">SMALL(BY452:BY456,2)</f>
        <v>2</v>
      </c>
      <c r="BZ459" s="185">
        <f t="shared" si="225"/>
        <v>2</v>
      </c>
      <c r="CA459" s="185">
        <f t="shared" si="225"/>
        <v>2</v>
      </c>
      <c r="CB459" s="185">
        <f t="shared" si="225"/>
        <v>2</v>
      </c>
      <c r="CC459" s="185">
        <f t="shared" si="225"/>
        <v>2</v>
      </c>
      <c r="CD459" s="185">
        <f t="shared" si="225"/>
        <v>2</v>
      </c>
      <c r="CE459" s="185">
        <f t="shared" si="225"/>
        <v>2</v>
      </c>
      <c r="CF459" s="185">
        <f t="shared" si="225"/>
        <v>2</v>
      </c>
      <c r="CG459" s="185">
        <f t="shared" si="225"/>
        <v>2</v>
      </c>
      <c r="CH459" s="185">
        <f t="shared" si="225"/>
        <v>2</v>
      </c>
      <c r="CI459" s="185">
        <f t="shared" si="225"/>
        <v>2</v>
      </c>
      <c r="CJ459" s="185">
        <f t="shared" si="225"/>
        <v>2</v>
      </c>
      <c r="CK459" s="185">
        <f t="shared" si="225"/>
        <v>2</v>
      </c>
      <c r="CL459" s="185">
        <f t="shared" si="225"/>
        <v>2</v>
      </c>
      <c r="CM459" s="185"/>
      <c r="CN459" s="185">
        <f t="shared" si="225"/>
        <v>2</v>
      </c>
      <c r="CO459" s="185">
        <f t="shared" si="225"/>
        <v>2</v>
      </c>
      <c r="CP459" s="185">
        <f t="shared" si="225"/>
        <v>2</v>
      </c>
      <c r="CQ459" s="185">
        <f t="shared" si="225"/>
        <v>2</v>
      </c>
      <c r="CR459" s="185"/>
      <c r="CS459" s="185">
        <f>SMALL(CS452:CS456,2)</f>
        <v>4</v>
      </c>
      <c r="CT459" s="185">
        <f>SMALL(CT452:CT456,2)</f>
        <v>2</v>
      </c>
      <c r="CU459" s="185">
        <f>SMALL(CU452:CU456,2)</f>
        <v>2</v>
      </c>
      <c r="CV459" s="185">
        <f>SMALL(CV452:CV456,2)</f>
        <v>2</v>
      </c>
      <c r="CW459" s="185"/>
      <c r="CX459" s="185">
        <f t="shared" ref="CX459:DD459" si="226">SMALL(CX452:CX456,2)</f>
        <v>3</v>
      </c>
      <c r="CY459" s="185">
        <f t="shared" si="226"/>
        <v>2</v>
      </c>
      <c r="CZ459" s="185">
        <f t="shared" si="226"/>
        <v>2</v>
      </c>
      <c r="DA459" s="185">
        <f t="shared" si="226"/>
        <v>4</v>
      </c>
      <c r="DB459" s="185">
        <f t="shared" si="226"/>
        <v>2</v>
      </c>
      <c r="DC459" s="185">
        <f t="shared" si="226"/>
        <v>2</v>
      </c>
      <c r="DD459" s="185">
        <f t="shared" si="226"/>
        <v>2</v>
      </c>
      <c r="DE459" s="185"/>
    </row>
    <row r="460" spans="5:109" ht="13.35" customHeight="1" x14ac:dyDescent="0.2">
      <c r="F460" s="185">
        <f t="shared" ref="F460:Y460" si="227">SMALL(F452:F456,3)</f>
        <v>5</v>
      </c>
      <c r="G460" s="185">
        <f t="shared" si="227"/>
        <v>4</v>
      </c>
      <c r="H460" s="185">
        <f t="shared" si="227"/>
        <v>4</v>
      </c>
      <c r="I460" s="185">
        <f t="shared" si="227"/>
        <v>5</v>
      </c>
      <c r="J460" s="185">
        <f t="shared" si="227"/>
        <v>4</v>
      </c>
      <c r="K460" s="185">
        <f t="shared" si="227"/>
        <v>4</v>
      </c>
      <c r="L460" s="185">
        <f t="shared" si="227"/>
        <v>2</v>
      </c>
      <c r="M460" s="185">
        <f t="shared" si="227"/>
        <v>4</v>
      </c>
      <c r="N460" s="185">
        <f t="shared" si="227"/>
        <v>4</v>
      </c>
      <c r="O460" s="185">
        <f t="shared" si="227"/>
        <v>4</v>
      </c>
      <c r="P460" s="185">
        <f t="shared" si="227"/>
        <v>4</v>
      </c>
      <c r="Q460" s="185">
        <f t="shared" si="227"/>
        <v>4</v>
      </c>
      <c r="R460" s="185">
        <f t="shared" si="227"/>
        <v>2</v>
      </c>
      <c r="S460" s="185">
        <f t="shared" si="227"/>
        <v>4</v>
      </c>
      <c r="T460" s="185">
        <f t="shared" si="227"/>
        <v>6</v>
      </c>
      <c r="U460" s="185">
        <f t="shared" si="227"/>
        <v>5</v>
      </c>
      <c r="V460" s="185">
        <f t="shared" si="227"/>
        <v>5</v>
      </c>
      <c r="W460" s="185">
        <f t="shared" si="227"/>
        <v>4</v>
      </c>
      <c r="X460" s="185">
        <f t="shared" si="227"/>
        <v>2</v>
      </c>
      <c r="Y460" s="185">
        <f t="shared" si="227"/>
        <v>2</v>
      </c>
      <c r="Z460" s="185"/>
      <c r="AA460" s="185">
        <f>SMALL(AA452:AA456,3)</f>
        <v>4</v>
      </c>
      <c r="AB460" s="185">
        <f>SMALL(AB452:AB456,3)</f>
        <v>4</v>
      </c>
      <c r="AC460" s="185">
        <f>SMALL(AC452:AC456,3)</f>
        <v>5</v>
      </c>
      <c r="AD460" s="185">
        <f>SMALL(AD452:AD456,3)</f>
        <v>5</v>
      </c>
      <c r="AE460" s="185"/>
      <c r="AF460" s="185">
        <f>SMALL(AF452:AF456,3)</f>
        <v>2</v>
      </c>
      <c r="AG460" s="185">
        <f>SMALL(AG452:AG456,3)</f>
        <v>4</v>
      </c>
      <c r="AH460" s="185">
        <f>SMALL(AH452:AH456,3)</f>
        <v>5</v>
      </c>
      <c r="AI460" s="185"/>
      <c r="AJ460" s="185">
        <f>SMALL(AJ452:AJ456,3)</f>
        <v>5</v>
      </c>
      <c r="AK460" s="185">
        <f>SMALL(AK452:AK456,3)</f>
        <v>2</v>
      </c>
      <c r="AL460" s="185">
        <f>SMALL(AL452:AL456,3)</f>
        <v>2</v>
      </c>
      <c r="AM460" s="185">
        <f>SMALL(AM452:AM456,3)</f>
        <v>2</v>
      </c>
      <c r="AN460" s="185"/>
      <c r="AO460" s="185">
        <f>SMALL(AO452:AO456,3)</f>
        <v>4</v>
      </c>
      <c r="AP460" s="185">
        <f>SMALL(AP452:AP456,3)</f>
        <v>4</v>
      </c>
      <c r="AQ460" s="185">
        <f>SMALL(AQ452:AQ456,3)</f>
        <v>5</v>
      </c>
      <c r="AR460" s="185"/>
      <c r="AS460" s="185">
        <f t="shared" ref="AS460:BX460" si="228">SMALL(AS452:AS456,3)</f>
        <v>4</v>
      </c>
      <c r="AT460" s="185">
        <f t="shared" si="228"/>
        <v>4</v>
      </c>
      <c r="AU460" s="185">
        <f t="shared" si="228"/>
        <v>4</v>
      </c>
      <c r="AV460" s="185">
        <f t="shared" si="228"/>
        <v>4</v>
      </c>
      <c r="AW460" s="185">
        <f t="shared" si="228"/>
        <v>4</v>
      </c>
      <c r="AX460" s="185">
        <f t="shared" si="228"/>
        <v>4</v>
      </c>
      <c r="AY460" s="185">
        <f t="shared" si="228"/>
        <v>4</v>
      </c>
      <c r="AZ460" s="185">
        <f t="shared" si="228"/>
        <v>4</v>
      </c>
      <c r="BA460" s="185">
        <f t="shared" si="228"/>
        <v>4</v>
      </c>
      <c r="BB460" s="185">
        <f t="shared" si="228"/>
        <v>4</v>
      </c>
      <c r="BC460" s="185">
        <f t="shared" si="228"/>
        <v>4</v>
      </c>
      <c r="BD460" s="185">
        <f t="shared" si="228"/>
        <v>4</v>
      </c>
      <c r="BE460" s="185">
        <f t="shared" si="228"/>
        <v>4</v>
      </c>
      <c r="BF460" s="185">
        <f t="shared" si="228"/>
        <v>4</v>
      </c>
      <c r="BG460" s="185">
        <f t="shared" si="228"/>
        <v>4</v>
      </c>
      <c r="BH460" s="185">
        <f t="shared" si="228"/>
        <v>4</v>
      </c>
      <c r="BI460" s="185">
        <f t="shared" si="228"/>
        <v>4</v>
      </c>
      <c r="BJ460" s="185">
        <f t="shared" si="228"/>
        <v>4</v>
      </c>
      <c r="BK460" s="185">
        <f t="shared" si="228"/>
        <v>4</v>
      </c>
      <c r="BL460" s="185">
        <f t="shared" si="228"/>
        <v>4</v>
      </c>
      <c r="BM460" s="185">
        <f t="shared" si="228"/>
        <v>4</v>
      </c>
      <c r="BN460" s="185">
        <f t="shared" si="228"/>
        <v>4</v>
      </c>
      <c r="BO460" s="185">
        <f t="shared" si="228"/>
        <v>4</v>
      </c>
      <c r="BP460" s="185">
        <f t="shared" si="228"/>
        <v>4</v>
      </c>
      <c r="BQ460" s="185">
        <f t="shared" si="228"/>
        <v>4</v>
      </c>
      <c r="BR460" s="185">
        <f t="shared" si="228"/>
        <v>4</v>
      </c>
      <c r="BS460" s="185">
        <f t="shared" si="228"/>
        <v>4</v>
      </c>
      <c r="BT460" s="185">
        <f t="shared" si="228"/>
        <v>4</v>
      </c>
      <c r="BU460" s="185">
        <f t="shared" si="228"/>
        <v>4</v>
      </c>
      <c r="BV460" s="185">
        <f t="shared" si="228"/>
        <v>4</v>
      </c>
      <c r="BW460" s="185">
        <f t="shared" si="228"/>
        <v>4</v>
      </c>
      <c r="BX460" s="185">
        <f t="shared" si="228"/>
        <v>4</v>
      </c>
      <c r="BY460" s="185">
        <f t="shared" ref="BY460:CQ460" si="229">SMALL(BY452:BY456,3)</f>
        <v>4</v>
      </c>
      <c r="BZ460" s="185">
        <f t="shared" si="229"/>
        <v>4</v>
      </c>
      <c r="CA460" s="185">
        <f t="shared" si="229"/>
        <v>4</v>
      </c>
      <c r="CB460" s="185">
        <f t="shared" si="229"/>
        <v>4</v>
      </c>
      <c r="CC460" s="185">
        <f t="shared" si="229"/>
        <v>4</v>
      </c>
      <c r="CD460" s="185">
        <f t="shared" si="229"/>
        <v>4</v>
      </c>
      <c r="CE460" s="185">
        <f t="shared" si="229"/>
        <v>4</v>
      </c>
      <c r="CF460" s="185">
        <f t="shared" si="229"/>
        <v>4</v>
      </c>
      <c r="CG460" s="185">
        <f t="shared" si="229"/>
        <v>4</v>
      </c>
      <c r="CH460" s="185">
        <f t="shared" si="229"/>
        <v>4</v>
      </c>
      <c r="CI460" s="185">
        <f t="shared" si="229"/>
        <v>4</v>
      </c>
      <c r="CJ460" s="185">
        <f t="shared" si="229"/>
        <v>4</v>
      </c>
      <c r="CK460" s="185">
        <f t="shared" si="229"/>
        <v>4</v>
      </c>
      <c r="CL460" s="185">
        <f t="shared" si="229"/>
        <v>4</v>
      </c>
      <c r="CM460" s="185"/>
      <c r="CN460" s="185">
        <f t="shared" si="229"/>
        <v>4</v>
      </c>
      <c r="CO460" s="185">
        <f t="shared" si="229"/>
        <v>4</v>
      </c>
      <c r="CP460" s="185">
        <f t="shared" si="229"/>
        <v>4</v>
      </c>
      <c r="CQ460" s="185">
        <f t="shared" si="229"/>
        <v>4</v>
      </c>
      <c r="CR460" s="185"/>
      <c r="CS460" s="185">
        <f>SMALL(CS452:CS456,3)</f>
        <v>5</v>
      </c>
      <c r="CT460" s="185">
        <f>SMALL(CT452:CT456,3)</f>
        <v>4</v>
      </c>
      <c r="CU460" s="185">
        <f>SMALL(CU452:CU456,3)</f>
        <v>2</v>
      </c>
      <c r="CV460" s="185">
        <f>SMALL(CV452:CV456,3)</f>
        <v>4</v>
      </c>
      <c r="CW460" s="185"/>
      <c r="CX460" s="185">
        <f t="shared" ref="CX460:DD460" si="230">SMALL(CX452:CX456,3)</f>
        <v>5</v>
      </c>
      <c r="CY460" s="185">
        <f t="shared" si="230"/>
        <v>4</v>
      </c>
      <c r="CZ460" s="185">
        <f t="shared" si="230"/>
        <v>4</v>
      </c>
      <c r="DA460" s="185">
        <f t="shared" si="230"/>
        <v>5</v>
      </c>
      <c r="DB460" s="185">
        <f t="shared" si="230"/>
        <v>4</v>
      </c>
      <c r="DC460" s="185">
        <f t="shared" si="230"/>
        <v>4</v>
      </c>
      <c r="DD460" s="185">
        <f t="shared" si="230"/>
        <v>4</v>
      </c>
      <c r="DE460" s="185"/>
    </row>
    <row r="461" spans="5:109" ht="13.35" customHeight="1" x14ac:dyDescent="0.2">
      <c r="F461" s="185">
        <f t="shared" ref="F461:Y461" si="231">SMALL(F452:F456,4)</f>
        <v>6</v>
      </c>
      <c r="G461" s="185">
        <f t="shared" si="231"/>
        <v>6</v>
      </c>
      <c r="H461" s="185">
        <f t="shared" si="231"/>
        <v>6</v>
      </c>
      <c r="I461" s="185">
        <f t="shared" si="231"/>
        <v>6</v>
      </c>
      <c r="J461" s="185">
        <f t="shared" si="231"/>
        <v>5</v>
      </c>
      <c r="K461" s="185">
        <f t="shared" si="231"/>
        <v>5</v>
      </c>
      <c r="L461" s="185">
        <f t="shared" si="231"/>
        <v>3</v>
      </c>
      <c r="M461" s="185">
        <f t="shared" si="231"/>
        <v>5</v>
      </c>
      <c r="N461" s="185">
        <f t="shared" si="231"/>
        <v>5</v>
      </c>
      <c r="O461" s="185">
        <f t="shared" si="231"/>
        <v>5</v>
      </c>
      <c r="P461" s="185">
        <f t="shared" si="231"/>
        <v>5</v>
      </c>
      <c r="Q461" s="185">
        <f t="shared" si="231"/>
        <v>5</v>
      </c>
      <c r="R461" s="185">
        <f t="shared" si="231"/>
        <v>3</v>
      </c>
      <c r="S461" s="185">
        <f t="shared" si="231"/>
        <v>5</v>
      </c>
      <c r="T461" s="185">
        <f t="shared" si="231"/>
        <v>6</v>
      </c>
      <c r="U461" s="185">
        <f t="shared" si="231"/>
        <v>6</v>
      </c>
      <c r="V461" s="185">
        <f t="shared" si="231"/>
        <v>6</v>
      </c>
      <c r="W461" s="185">
        <f t="shared" si="231"/>
        <v>4</v>
      </c>
      <c r="X461" s="185">
        <f t="shared" si="231"/>
        <v>2</v>
      </c>
      <c r="Y461" s="185">
        <f t="shared" si="231"/>
        <v>3</v>
      </c>
      <c r="Z461" s="185"/>
      <c r="AA461" s="185">
        <f>SMALL(AA452:AA456,4)</f>
        <v>5</v>
      </c>
      <c r="AB461" s="185">
        <f>SMALL(AB452:AB456,4)</f>
        <v>5</v>
      </c>
      <c r="AC461" s="185">
        <f>SMALL(AC452:AC456,4)</f>
        <v>6</v>
      </c>
      <c r="AD461" s="185">
        <f>SMALL(AD452:AD456,4)</f>
        <v>6</v>
      </c>
      <c r="AE461" s="185"/>
      <c r="AF461" s="185">
        <f>SMALL(AF452:AF456,4)</f>
        <v>3</v>
      </c>
      <c r="AG461" s="185">
        <f>SMALL(AG452:AG456,4)</f>
        <v>5</v>
      </c>
      <c r="AH461" s="185">
        <f>SMALL(AH452:AH456,4)</f>
        <v>6</v>
      </c>
      <c r="AI461" s="185"/>
      <c r="AJ461" s="185">
        <f>SMALL(AJ452:AJ456,4)</f>
        <v>6</v>
      </c>
      <c r="AK461" s="185">
        <f>SMALL(AK452:AK456,4)</f>
        <v>3</v>
      </c>
      <c r="AL461" s="185">
        <f>SMALL(AL452:AL456,4)</f>
        <v>3</v>
      </c>
      <c r="AM461" s="185">
        <f>SMALL(AM452:AM456,4)</f>
        <v>3</v>
      </c>
      <c r="AN461" s="185"/>
      <c r="AO461" s="185">
        <f>SMALL(AO452:AO456,4)</f>
        <v>5</v>
      </c>
      <c r="AP461" s="185">
        <f>SMALL(AP452:AP456,4)</f>
        <v>5</v>
      </c>
      <c r="AQ461" s="185">
        <f>SMALL(AQ452:AQ456,4)</f>
        <v>6</v>
      </c>
      <c r="AR461" s="185"/>
      <c r="AS461" s="185">
        <f t="shared" ref="AS461:BX461" si="232">SMALL(AS452:AS456,4)</f>
        <v>5</v>
      </c>
      <c r="AT461" s="185">
        <f t="shared" si="232"/>
        <v>5</v>
      </c>
      <c r="AU461" s="185">
        <f t="shared" si="232"/>
        <v>5</v>
      </c>
      <c r="AV461" s="185">
        <f t="shared" si="232"/>
        <v>5</v>
      </c>
      <c r="AW461" s="185">
        <f t="shared" si="232"/>
        <v>5</v>
      </c>
      <c r="AX461" s="185">
        <f t="shared" si="232"/>
        <v>5</v>
      </c>
      <c r="AY461" s="185">
        <f t="shared" si="232"/>
        <v>5</v>
      </c>
      <c r="AZ461" s="185">
        <f t="shared" si="232"/>
        <v>5</v>
      </c>
      <c r="BA461" s="185">
        <f t="shared" si="232"/>
        <v>5</v>
      </c>
      <c r="BB461" s="185">
        <f t="shared" si="232"/>
        <v>5</v>
      </c>
      <c r="BC461" s="185">
        <f t="shared" si="232"/>
        <v>5</v>
      </c>
      <c r="BD461" s="185">
        <f t="shared" si="232"/>
        <v>5</v>
      </c>
      <c r="BE461" s="185">
        <f t="shared" si="232"/>
        <v>5</v>
      </c>
      <c r="BF461" s="185">
        <f t="shared" si="232"/>
        <v>5</v>
      </c>
      <c r="BG461" s="185">
        <f t="shared" si="232"/>
        <v>5</v>
      </c>
      <c r="BH461" s="185">
        <f t="shared" si="232"/>
        <v>5</v>
      </c>
      <c r="BI461" s="185">
        <f t="shared" si="232"/>
        <v>5</v>
      </c>
      <c r="BJ461" s="185">
        <f t="shared" si="232"/>
        <v>5</v>
      </c>
      <c r="BK461" s="185">
        <f t="shared" si="232"/>
        <v>5</v>
      </c>
      <c r="BL461" s="185">
        <f t="shared" si="232"/>
        <v>5</v>
      </c>
      <c r="BM461" s="185">
        <f t="shared" si="232"/>
        <v>5</v>
      </c>
      <c r="BN461" s="185">
        <f t="shared" si="232"/>
        <v>5</v>
      </c>
      <c r="BO461" s="185">
        <f t="shared" si="232"/>
        <v>5</v>
      </c>
      <c r="BP461" s="185">
        <f t="shared" si="232"/>
        <v>5</v>
      </c>
      <c r="BQ461" s="185">
        <f t="shared" si="232"/>
        <v>5</v>
      </c>
      <c r="BR461" s="185">
        <f t="shared" si="232"/>
        <v>5</v>
      </c>
      <c r="BS461" s="185">
        <f t="shared" si="232"/>
        <v>5</v>
      </c>
      <c r="BT461" s="185">
        <f t="shared" si="232"/>
        <v>5</v>
      </c>
      <c r="BU461" s="185">
        <f t="shared" si="232"/>
        <v>5</v>
      </c>
      <c r="BV461" s="185">
        <f t="shared" si="232"/>
        <v>5</v>
      </c>
      <c r="BW461" s="185">
        <f t="shared" si="232"/>
        <v>5</v>
      </c>
      <c r="BX461" s="185">
        <f t="shared" si="232"/>
        <v>5</v>
      </c>
      <c r="BY461" s="185">
        <f t="shared" ref="BY461:CQ461" si="233">SMALL(BY452:BY456,4)</f>
        <v>5</v>
      </c>
      <c r="BZ461" s="185">
        <f t="shared" si="233"/>
        <v>5</v>
      </c>
      <c r="CA461" s="185">
        <f t="shared" si="233"/>
        <v>5</v>
      </c>
      <c r="CB461" s="185">
        <f t="shared" si="233"/>
        <v>5</v>
      </c>
      <c r="CC461" s="185">
        <f t="shared" si="233"/>
        <v>5</v>
      </c>
      <c r="CD461" s="185">
        <f t="shared" si="233"/>
        <v>5</v>
      </c>
      <c r="CE461" s="185">
        <f t="shared" si="233"/>
        <v>5</v>
      </c>
      <c r="CF461" s="185">
        <f t="shared" si="233"/>
        <v>5</v>
      </c>
      <c r="CG461" s="185">
        <f t="shared" si="233"/>
        <v>5</v>
      </c>
      <c r="CH461" s="185">
        <f t="shared" si="233"/>
        <v>5</v>
      </c>
      <c r="CI461" s="185">
        <f t="shared" si="233"/>
        <v>5</v>
      </c>
      <c r="CJ461" s="185">
        <f t="shared" si="233"/>
        <v>5</v>
      </c>
      <c r="CK461" s="185">
        <f t="shared" si="233"/>
        <v>5</v>
      </c>
      <c r="CL461" s="185">
        <f t="shared" si="233"/>
        <v>5</v>
      </c>
      <c r="CM461" s="185"/>
      <c r="CN461" s="185">
        <f t="shared" si="233"/>
        <v>5</v>
      </c>
      <c r="CO461" s="185">
        <f t="shared" si="233"/>
        <v>5</v>
      </c>
      <c r="CP461" s="185">
        <f t="shared" si="233"/>
        <v>5</v>
      </c>
      <c r="CQ461" s="185">
        <f t="shared" si="233"/>
        <v>5</v>
      </c>
      <c r="CR461" s="185"/>
      <c r="CS461" s="185">
        <f>SMALL(CS452:CS456,4)</f>
        <v>8</v>
      </c>
      <c r="CT461" s="185">
        <f>SMALL(CT452:CT456,4)</f>
        <v>5</v>
      </c>
      <c r="CU461" s="185">
        <f>SMALL(CU452:CU456,4)</f>
        <v>3</v>
      </c>
      <c r="CV461" s="185">
        <f>SMALL(CV452:CV456,4)</f>
        <v>4</v>
      </c>
      <c r="CW461" s="185"/>
      <c r="CX461" s="185">
        <f t="shared" ref="CX461:DD461" si="234">SMALL(CX452:CX456,4)</f>
        <v>6</v>
      </c>
      <c r="CY461" s="185">
        <f t="shared" si="234"/>
        <v>5</v>
      </c>
      <c r="CZ461" s="185">
        <f t="shared" si="234"/>
        <v>5</v>
      </c>
      <c r="DA461" s="185">
        <f t="shared" si="234"/>
        <v>8</v>
      </c>
      <c r="DB461" s="185">
        <f t="shared" si="234"/>
        <v>5</v>
      </c>
      <c r="DC461" s="185">
        <f t="shared" si="234"/>
        <v>5</v>
      </c>
      <c r="DD461" s="185">
        <f t="shared" si="234"/>
        <v>5</v>
      </c>
      <c r="DE461" s="185"/>
    </row>
    <row r="462" spans="5:109" ht="13.35" customHeight="1" x14ac:dyDescent="0.2">
      <c r="F462" s="185">
        <f t="shared" ref="F462:Y462" si="235">SMALL(F452:F456,5)</f>
        <v>9</v>
      </c>
      <c r="G462" s="185">
        <f t="shared" si="235"/>
        <v>9</v>
      </c>
      <c r="H462" s="185">
        <f t="shared" si="235"/>
        <v>9</v>
      </c>
      <c r="I462" s="185">
        <f t="shared" si="235"/>
        <v>9</v>
      </c>
      <c r="J462" s="185">
        <f t="shared" si="235"/>
        <v>6</v>
      </c>
      <c r="K462" s="185">
        <f t="shared" si="235"/>
        <v>6</v>
      </c>
      <c r="L462" s="185">
        <f t="shared" si="235"/>
        <v>5</v>
      </c>
      <c r="M462" s="185">
        <f t="shared" si="235"/>
        <v>6</v>
      </c>
      <c r="N462" s="185">
        <f t="shared" si="235"/>
        <v>6</v>
      </c>
      <c r="O462" s="185">
        <f t="shared" si="235"/>
        <v>6</v>
      </c>
      <c r="P462" s="185">
        <f t="shared" si="235"/>
        <v>6</v>
      </c>
      <c r="Q462" s="185">
        <f t="shared" si="235"/>
        <v>6</v>
      </c>
      <c r="R462" s="185">
        <f t="shared" si="235"/>
        <v>4</v>
      </c>
      <c r="S462" s="185">
        <f t="shared" si="235"/>
        <v>6</v>
      </c>
      <c r="T462" s="185">
        <f t="shared" si="235"/>
        <v>9</v>
      </c>
      <c r="U462" s="185">
        <f t="shared" si="235"/>
        <v>9</v>
      </c>
      <c r="V462" s="185">
        <f t="shared" si="235"/>
        <v>9</v>
      </c>
      <c r="W462" s="185">
        <f t="shared" si="235"/>
        <v>6</v>
      </c>
      <c r="X462" s="185">
        <f t="shared" si="235"/>
        <v>3</v>
      </c>
      <c r="Y462" s="185">
        <f t="shared" si="235"/>
        <v>4</v>
      </c>
      <c r="Z462" s="185"/>
      <c r="AA462" s="185">
        <f>SMALL(AA452:AA456,5)</f>
        <v>6</v>
      </c>
      <c r="AB462" s="185">
        <f>SMALL(AB452:AB456,5)</f>
        <v>6</v>
      </c>
      <c r="AC462" s="185">
        <f>SMALL(AC452:AC456,5)</f>
        <v>9</v>
      </c>
      <c r="AD462" s="185">
        <f>SMALL(AD452:AD456,5)</f>
        <v>9</v>
      </c>
      <c r="AE462" s="185"/>
      <c r="AF462" s="185">
        <f>SMALL(AF452:AF456,5)</f>
        <v>5</v>
      </c>
      <c r="AG462" s="185">
        <f>SMALL(AG452:AG456,5)</f>
        <v>6</v>
      </c>
      <c r="AH462" s="185">
        <f>SMALL(AH452:AH456,5)</f>
        <v>9</v>
      </c>
      <c r="AI462" s="185"/>
      <c r="AJ462" s="185">
        <f>SMALL(AJ452:AJ456,5)</f>
        <v>9</v>
      </c>
      <c r="AK462" s="185">
        <f>SMALL(AK452:AK456,5)</f>
        <v>4</v>
      </c>
      <c r="AL462" s="185">
        <f>SMALL(AL452:AL456,5)</f>
        <v>4</v>
      </c>
      <c r="AM462" s="185">
        <f>SMALL(AM452:AM456,5)</f>
        <v>5</v>
      </c>
      <c r="AN462" s="185"/>
      <c r="AO462" s="185">
        <f>SMALL(AO452:AO456,5)</f>
        <v>6</v>
      </c>
      <c r="AP462" s="185">
        <f>SMALL(AP452:AP456,5)</f>
        <v>6</v>
      </c>
      <c r="AQ462" s="185">
        <f>SMALL(AQ452:AQ456,5)</f>
        <v>9</v>
      </c>
      <c r="AR462" s="185"/>
      <c r="AS462" s="185">
        <f t="shared" ref="AS462:BX462" si="236">SMALL(AS452:AS456,5)</f>
        <v>6</v>
      </c>
      <c r="AT462" s="185">
        <f t="shared" si="236"/>
        <v>6</v>
      </c>
      <c r="AU462" s="185">
        <f t="shared" si="236"/>
        <v>6</v>
      </c>
      <c r="AV462" s="185">
        <f t="shared" si="236"/>
        <v>6</v>
      </c>
      <c r="AW462" s="185">
        <f t="shared" si="236"/>
        <v>6</v>
      </c>
      <c r="AX462" s="185">
        <f t="shared" si="236"/>
        <v>6</v>
      </c>
      <c r="AY462" s="185">
        <f t="shared" si="236"/>
        <v>6</v>
      </c>
      <c r="AZ462" s="185">
        <f t="shared" si="236"/>
        <v>6</v>
      </c>
      <c r="BA462" s="185">
        <f t="shared" si="236"/>
        <v>6</v>
      </c>
      <c r="BB462" s="185">
        <f t="shared" si="236"/>
        <v>6</v>
      </c>
      <c r="BC462" s="185">
        <f t="shared" si="236"/>
        <v>6</v>
      </c>
      <c r="BD462" s="185">
        <f t="shared" si="236"/>
        <v>6</v>
      </c>
      <c r="BE462" s="185">
        <f t="shared" si="236"/>
        <v>6</v>
      </c>
      <c r="BF462" s="185">
        <f t="shared" si="236"/>
        <v>6</v>
      </c>
      <c r="BG462" s="185">
        <f t="shared" si="236"/>
        <v>6</v>
      </c>
      <c r="BH462" s="185">
        <f t="shared" si="236"/>
        <v>6</v>
      </c>
      <c r="BI462" s="185">
        <f t="shared" si="236"/>
        <v>6</v>
      </c>
      <c r="BJ462" s="185">
        <f t="shared" si="236"/>
        <v>6</v>
      </c>
      <c r="BK462" s="185">
        <f t="shared" si="236"/>
        <v>6</v>
      </c>
      <c r="BL462" s="185">
        <f t="shared" si="236"/>
        <v>6</v>
      </c>
      <c r="BM462" s="185">
        <f t="shared" si="236"/>
        <v>6</v>
      </c>
      <c r="BN462" s="185">
        <f t="shared" si="236"/>
        <v>6</v>
      </c>
      <c r="BO462" s="185">
        <f t="shared" si="236"/>
        <v>6</v>
      </c>
      <c r="BP462" s="185">
        <f t="shared" si="236"/>
        <v>6</v>
      </c>
      <c r="BQ462" s="185">
        <f t="shared" si="236"/>
        <v>6</v>
      </c>
      <c r="BR462" s="185">
        <f t="shared" si="236"/>
        <v>6</v>
      </c>
      <c r="BS462" s="185">
        <f t="shared" si="236"/>
        <v>6</v>
      </c>
      <c r="BT462" s="185">
        <f t="shared" si="236"/>
        <v>6</v>
      </c>
      <c r="BU462" s="185">
        <f t="shared" si="236"/>
        <v>6</v>
      </c>
      <c r="BV462" s="185">
        <f t="shared" si="236"/>
        <v>6</v>
      </c>
      <c r="BW462" s="185">
        <f t="shared" si="236"/>
        <v>6</v>
      </c>
      <c r="BX462" s="185">
        <f t="shared" si="236"/>
        <v>6</v>
      </c>
      <c r="BY462" s="185">
        <f t="shared" ref="BY462:CQ462" si="237">SMALL(BY452:BY456,5)</f>
        <v>6</v>
      </c>
      <c r="BZ462" s="185">
        <f t="shared" si="237"/>
        <v>6</v>
      </c>
      <c r="CA462" s="185">
        <f t="shared" si="237"/>
        <v>6</v>
      </c>
      <c r="CB462" s="185">
        <f t="shared" si="237"/>
        <v>6</v>
      </c>
      <c r="CC462" s="185">
        <f t="shared" si="237"/>
        <v>6</v>
      </c>
      <c r="CD462" s="185">
        <f t="shared" si="237"/>
        <v>6</v>
      </c>
      <c r="CE462" s="185">
        <f t="shared" si="237"/>
        <v>6</v>
      </c>
      <c r="CF462" s="185">
        <f t="shared" si="237"/>
        <v>6</v>
      </c>
      <c r="CG462" s="185">
        <f t="shared" si="237"/>
        <v>6</v>
      </c>
      <c r="CH462" s="185">
        <f t="shared" si="237"/>
        <v>6</v>
      </c>
      <c r="CI462" s="185">
        <f t="shared" si="237"/>
        <v>6</v>
      </c>
      <c r="CJ462" s="185">
        <f t="shared" si="237"/>
        <v>6</v>
      </c>
      <c r="CK462" s="185">
        <f t="shared" si="237"/>
        <v>6</v>
      </c>
      <c r="CL462" s="185">
        <f t="shared" si="237"/>
        <v>6</v>
      </c>
      <c r="CM462" s="185"/>
      <c r="CN462" s="185">
        <f t="shared" si="237"/>
        <v>6</v>
      </c>
      <c r="CO462" s="185">
        <f t="shared" si="237"/>
        <v>6</v>
      </c>
      <c r="CP462" s="185">
        <f t="shared" si="237"/>
        <v>6</v>
      </c>
      <c r="CQ462" s="185">
        <f t="shared" si="237"/>
        <v>6</v>
      </c>
      <c r="CR462" s="185"/>
      <c r="CS462" s="185">
        <f>SMALL(CS452:CS456,5)</f>
        <v>12</v>
      </c>
      <c r="CT462" s="185">
        <f>SMALL(CT452:CT456,5)</f>
        <v>6</v>
      </c>
      <c r="CU462" s="185">
        <f>SMALL(CU452:CU456,5)</f>
        <v>5</v>
      </c>
      <c r="CV462" s="185">
        <f>SMALL(CV452:CV456,5)</f>
        <v>6</v>
      </c>
      <c r="CW462" s="185"/>
      <c r="CX462" s="185">
        <f t="shared" ref="CX462:DD462" si="238">SMALL(CX452:CX456,5)</f>
        <v>9</v>
      </c>
      <c r="CY462" s="185">
        <f t="shared" si="238"/>
        <v>6</v>
      </c>
      <c r="CZ462" s="185">
        <f t="shared" si="238"/>
        <v>6</v>
      </c>
      <c r="DA462" s="185">
        <f t="shared" si="238"/>
        <v>12</v>
      </c>
      <c r="DB462" s="185">
        <f t="shared" si="238"/>
        <v>6</v>
      </c>
      <c r="DC462" s="185">
        <f t="shared" si="238"/>
        <v>6</v>
      </c>
      <c r="DD462" s="185">
        <f t="shared" si="238"/>
        <v>6</v>
      </c>
      <c r="DE462" s="185"/>
    </row>
  </sheetData>
  <sheetProtection selectLockedCells="1" selectUnlockedCells="1"/>
  <sortState ref="GR71:GR95">
    <sortCondition ref="GR71"/>
  </sortState>
  <dataConsolidate/>
  <hyperlinks>
    <hyperlink ref="B263" r:id="rId1"/>
    <hyperlink ref="B264" r:id="rId2"/>
    <hyperlink ref="B266" r:id="rId3"/>
    <hyperlink ref="B267" r:id="rId4"/>
    <hyperlink ref="B268" r:id="rId5"/>
    <hyperlink ref="B269" r:id="rId6"/>
    <hyperlink ref="B270" r:id="rId7"/>
    <hyperlink ref="B271" r:id="rId8"/>
    <hyperlink ref="B272" r:id="rId9"/>
    <hyperlink ref="B273" r:id="rId10"/>
    <hyperlink ref="B274" r:id="rId11"/>
    <hyperlink ref="B275" r:id="rId12"/>
    <hyperlink ref="B276" r:id="rId13"/>
    <hyperlink ref="B277" r:id="rId14"/>
    <hyperlink ref="B278" r:id="rId15"/>
    <hyperlink ref="B279" r:id="rId16"/>
    <hyperlink ref="B280" r:id="rId17"/>
    <hyperlink ref="B281" r:id="rId18"/>
    <hyperlink ref="B282" r:id="rId19"/>
    <hyperlink ref="B283" r:id="rId20"/>
    <hyperlink ref="B284" r:id="rId21"/>
    <hyperlink ref="B285" r:id="rId22"/>
    <hyperlink ref="B286" r:id="rId23"/>
    <hyperlink ref="B287" r:id="rId24"/>
    <hyperlink ref="B288" r:id="rId25"/>
    <hyperlink ref="B289" r:id="rId26"/>
    <hyperlink ref="B290" r:id="rId27"/>
    <hyperlink ref="B291" r:id="rId28"/>
    <hyperlink ref="B292" r:id="rId29"/>
    <hyperlink ref="B293" r:id="rId30"/>
    <hyperlink ref="B294" r:id="rId31"/>
    <hyperlink ref="B295" r:id="rId32"/>
    <hyperlink ref="B296" r:id="rId33"/>
    <hyperlink ref="B297" r:id="rId34"/>
    <hyperlink ref="B299" r:id="rId35"/>
    <hyperlink ref="B265" r:id="rId36"/>
  </hyperlinks>
  <pageMargins left="0.78749999999999998" right="0.78749999999999998" top="1.0527777777777778" bottom="1.0527777777777778" header="0.78749999999999998" footer="0.78749999999999998"/>
  <pageSetup paperSize="9" firstPageNumber="0" orientation="portrait" horizontalDpi="300" verticalDpi="300" r:id="rId37"/>
  <headerFooter alignWithMargins="0">
    <oddHeader>&amp;C&amp;"Times New Roman,Normaali"&amp;12&amp;A</oddHeader>
    <oddFooter>&amp;C&amp;"Times New Roman,Normaali"&amp;12Sivu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S164"/>
  <sheetViews>
    <sheetView topLeftCell="A82" workbookViewId="0">
      <selection activeCell="C105" sqref="C105"/>
    </sheetView>
  </sheetViews>
  <sheetFormatPr defaultColWidth="6.5703125" defaultRowHeight="9.75" x14ac:dyDescent="0.2"/>
  <cols>
    <col min="1" max="2" width="10.85546875" style="174" customWidth="1"/>
    <col min="3" max="3" width="6.5703125" style="174"/>
    <col min="4" max="4" width="8" style="174" bestFit="1" customWidth="1"/>
    <col min="5" max="5" width="8.42578125" style="174" bestFit="1" customWidth="1"/>
    <col min="6" max="16384" width="6.5703125" style="174"/>
  </cols>
  <sheetData>
    <row r="2" spans="1:45" x14ac:dyDescent="0.2">
      <c r="A2" s="174" t="s">
        <v>3519</v>
      </c>
      <c r="B2" s="174" t="s">
        <v>3520</v>
      </c>
      <c r="G2" s="174" t="s">
        <v>1163</v>
      </c>
      <c r="H2" s="268" t="s">
        <v>4181</v>
      </c>
      <c r="I2" s="268" t="s">
        <v>4381</v>
      </c>
      <c r="J2" s="268" t="s">
        <v>4197</v>
      </c>
      <c r="K2" s="268" t="s">
        <v>4187</v>
      </c>
      <c r="L2" s="268" t="s">
        <v>4188</v>
      </c>
      <c r="M2" s="268" t="s">
        <v>913</v>
      </c>
      <c r="N2" s="268" t="s">
        <v>4195</v>
      </c>
      <c r="O2" s="268" t="s">
        <v>4183</v>
      </c>
      <c r="P2" s="268" t="s">
        <v>4193</v>
      </c>
      <c r="Q2" s="268" t="s">
        <v>977</v>
      </c>
      <c r="R2" s="268" t="s">
        <v>976</v>
      </c>
      <c r="S2" s="268" t="s">
        <v>4198</v>
      </c>
      <c r="T2" s="268" t="s">
        <v>4349</v>
      </c>
      <c r="U2" s="268" t="s">
        <v>4361</v>
      </c>
      <c r="V2" s="268" t="s">
        <v>4360</v>
      </c>
      <c r="W2" s="268" t="s">
        <v>4199</v>
      </c>
      <c r="X2" s="268" t="s">
        <v>899</v>
      </c>
      <c r="Y2" s="268" t="s">
        <v>1058</v>
      </c>
      <c r="Z2" s="268" t="s">
        <v>4200</v>
      </c>
      <c r="AA2" s="268" t="s">
        <v>4359</v>
      </c>
      <c r="AB2" s="268" t="s">
        <v>4189</v>
      </c>
      <c r="AC2" s="268" t="s">
        <v>4388</v>
      </c>
      <c r="AD2" s="268" t="s">
        <v>4393</v>
      </c>
      <c r="AE2" s="268" t="s">
        <v>4172</v>
      </c>
      <c r="AF2" s="268" t="s">
        <v>4364</v>
      </c>
      <c r="AG2" s="268" t="s">
        <v>4190</v>
      </c>
      <c r="AH2" s="268" t="s">
        <v>4201</v>
      </c>
      <c r="AI2" s="268" t="s">
        <v>4191</v>
      </c>
      <c r="AJ2" s="268" t="s">
        <v>4185</v>
      </c>
      <c r="AK2" s="268" t="s">
        <v>4202</v>
      </c>
      <c r="AL2" s="268" t="s">
        <v>4371</v>
      </c>
      <c r="AM2" s="268" t="s">
        <v>4171</v>
      </c>
      <c r="AN2" s="268" t="s">
        <v>4192</v>
      </c>
      <c r="AO2" s="268" t="s">
        <v>4203</v>
      </c>
      <c r="AP2" s="268" t="s">
        <v>4377</v>
      </c>
      <c r="AQ2" s="268" t="s">
        <v>4204</v>
      </c>
      <c r="AR2" s="268" t="s">
        <v>4180</v>
      </c>
      <c r="AS2" s="268" t="s">
        <v>4173</v>
      </c>
    </row>
    <row r="3" spans="1:45" x14ac:dyDescent="0.2">
      <c r="A3" s="174">
        <v>1</v>
      </c>
      <c r="B3" s="185" t="s">
        <v>3525</v>
      </c>
      <c r="C3" s="185"/>
      <c r="D3" s="174">
        <v>14.99</v>
      </c>
      <c r="E3" s="185"/>
      <c r="F3" s="223"/>
      <c r="G3" s="185">
        <v>1</v>
      </c>
      <c r="H3" s="185">
        <v>2</v>
      </c>
      <c r="I3" s="223">
        <v>3</v>
      </c>
      <c r="J3" s="185">
        <v>4</v>
      </c>
      <c r="K3" s="223">
        <v>5</v>
      </c>
      <c r="L3" s="185">
        <v>6</v>
      </c>
      <c r="M3" s="223">
        <v>7</v>
      </c>
      <c r="N3" s="185">
        <v>8</v>
      </c>
      <c r="O3" s="223">
        <v>9</v>
      </c>
      <c r="P3" s="185">
        <v>10</v>
      </c>
      <c r="Q3" s="223">
        <v>11</v>
      </c>
      <c r="R3" s="185">
        <v>12</v>
      </c>
      <c r="S3" s="223">
        <v>13</v>
      </c>
      <c r="T3" s="185">
        <v>14</v>
      </c>
      <c r="U3" s="223">
        <v>15</v>
      </c>
      <c r="V3" s="185">
        <v>16</v>
      </c>
      <c r="W3" s="223">
        <v>17</v>
      </c>
      <c r="X3" s="185">
        <v>18</v>
      </c>
      <c r="Y3" s="174">
        <v>19</v>
      </c>
      <c r="Z3" s="174">
        <v>20</v>
      </c>
      <c r="AA3" s="174">
        <v>21</v>
      </c>
      <c r="AB3" s="174">
        <v>22</v>
      </c>
      <c r="AC3" s="174">
        <v>23</v>
      </c>
      <c r="AD3" s="174">
        <v>24</v>
      </c>
      <c r="AE3" s="174">
        <v>25</v>
      </c>
      <c r="AF3" s="174">
        <v>26</v>
      </c>
      <c r="AG3" s="174">
        <v>27</v>
      </c>
      <c r="AH3" s="174">
        <v>28</v>
      </c>
      <c r="AI3" s="174">
        <v>29</v>
      </c>
      <c r="AJ3" s="174">
        <v>30</v>
      </c>
      <c r="AK3" s="174">
        <v>31</v>
      </c>
      <c r="AL3" s="174">
        <v>32</v>
      </c>
      <c r="AM3" s="174">
        <v>33</v>
      </c>
      <c r="AN3" s="174">
        <v>34</v>
      </c>
      <c r="AO3" s="174">
        <v>35</v>
      </c>
      <c r="AP3" s="174">
        <v>36</v>
      </c>
      <c r="AQ3" s="174">
        <v>37</v>
      </c>
      <c r="AR3" s="174">
        <v>38</v>
      </c>
      <c r="AS3" s="174">
        <v>39</v>
      </c>
    </row>
    <row r="4" spans="1:45" x14ac:dyDescent="0.2">
      <c r="A4" s="174">
        <v>15.99</v>
      </c>
      <c r="B4" s="174" t="s">
        <v>3526</v>
      </c>
      <c r="C4" s="204"/>
      <c r="D4" s="174">
        <v>15.99</v>
      </c>
      <c r="E4" s="204"/>
      <c r="F4" s="205">
        <v>1</v>
      </c>
      <c r="G4" s="174">
        <v>-5000</v>
      </c>
      <c r="H4" s="204">
        <f>H5-(0.0254*1.8)</f>
        <v>1.3045599999999993</v>
      </c>
      <c r="I4" s="204">
        <f t="shared" ref="I4:AS4" si="0">I5-(0.0254*1.8)</f>
        <v>1.2307599999999994</v>
      </c>
      <c r="J4" s="204">
        <f t="shared" si="0"/>
        <v>1.2815599999999994</v>
      </c>
      <c r="K4" s="204">
        <f t="shared" si="0"/>
        <v>1.2561599999999993</v>
      </c>
      <c r="L4" s="204">
        <f t="shared" si="0"/>
        <v>1.3045599999999993</v>
      </c>
      <c r="M4" s="204">
        <f t="shared" si="0"/>
        <v>1.441859999999999</v>
      </c>
      <c r="N4" s="204">
        <f t="shared" si="0"/>
        <v>1.2815599999999994</v>
      </c>
      <c r="O4" s="204">
        <f t="shared" si="0"/>
        <v>0.55456000000000005</v>
      </c>
      <c r="P4" s="204">
        <f t="shared" si="0"/>
        <v>1.5053599999999991</v>
      </c>
      <c r="Q4" s="204">
        <f t="shared" si="0"/>
        <v>1.0807599999999991</v>
      </c>
      <c r="R4" s="204">
        <f t="shared" si="0"/>
        <v>1.0807599999999991</v>
      </c>
      <c r="S4" s="204">
        <f t="shared" si="0"/>
        <v>1.3323599999999993</v>
      </c>
      <c r="T4" s="204">
        <f t="shared" si="0"/>
        <v>0.31806000000000023</v>
      </c>
      <c r="U4" s="204">
        <f t="shared" si="0"/>
        <v>0.53156000000000014</v>
      </c>
      <c r="V4" s="204">
        <f t="shared" si="0"/>
        <v>0.90535999999999928</v>
      </c>
      <c r="W4" s="204">
        <f t="shared" si="0"/>
        <v>1.2307599999999994</v>
      </c>
      <c r="X4" s="204">
        <f t="shared" si="0"/>
        <v>1.3172599999999992</v>
      </c>
      <c r="Y4" s="204">
        <f t="shared" si="0"/>
        <v>1.3934599999999993</v>
      </c>
      <c r="Z4" s="204">
        <f t="shared" si="0"/>
        <v>1.2815599999999994</v>
      </c>
      <c r="AA4" s="204">
        <f t="shared" si="0"/>
        <v>0.83155999999999941</v>
      </c>
      <c r="AB4" s="204">
        <f t="shared" si="0"/>
        <v>1.3299599999999991</v>
      </c>
      <c r="AC4" s="204">
        <f t="shared" si="0"/>
        <v>1.3426599999999993</v>
      </c>
      <c r="AD4" s="204">
        <f t="shared" si="0"/>
        <v>0.50616000000000005</v>
      </c>
      <c r="AE4" s="204">
        <f t="shared" si="0"/>
        <v>1.3045599999999993</v>
      </c>
      <c r="AF4" s="204">
        <f t="shared" si="0"/>
        <v>0.95615999999999923</v>
      </c>
      <c r="AG4" s="204">
        <f t="shared" si="0"/>
        <v>1.3069599999999992</v>
      </c>
      <c r="AH4" s="204">
        <f t="shared" si="0"/>
        <v>1.2537599999999993</v>
      </c>
      <c r="AI4" s="204">
        <f t="shared" si="0"/>
        <v>1.2307599999999994</v>
      </c>
      <c r="AJ4" s="204">
        <f t="shared" si="0"/>
        <v>0.6053599999999999</v>
      </c>
      <c r="AK4" s="204">
        <f t="shared" si="0"/>
        <v>1.2815599999999994</v>
      </c>
      <c r="AL4" s="204">
        <f t="shared" si="0"/>
        <v>0.53156000000000014</v>
      </c>
      <c r="AM4" s="204">
        <f t="shared" si="0"/>
        <v>1.3045599999999993</v>
      </c>
      <c r="AN4" s="204">
        <f t="shared" si="0"/>
        <v>1.2815599999999994</v>
      </c>
      <c r="AO4" s="204">
        <f t="shared" si="0"/>
        <v>1.3323599999999993</v>
      </c>
      <c r="AP4" s="204">
        <f t="shared" si="0"/>
        <v>0.97915999999999914</v>
      </c>
      <c r="AQ4" s="204">
        <f t="shared" si="0"/>
        <v>1.3323599999999993</v>
      </c>
      <c r="AR4" s="204">
        <f t="shared" si="0"/>
        <v>1.3045599999999993</v>
      </c>
      <c r="AS4" s="204">
        <f t="shared" si="0"/>
        <v>1.3045599999999993</v>
      </c>
    </row>
    <row r="5" spans="1:45" x14ac:dyDescent="0.2">
      <c r="A5" s="174">
        <v>18.489999999999998</v>
      </c>
      <c r="B5" s="174" t="s">
        <v>3527</v>
      </c>
      <c r="C5" s="204"/>
      <c r="D5" s="174">
        <v>18.489999999999998</v>
      </c>
      <c r="E5" s="204"/>
      <c r="F5" s="205">
        <v>2</v>
      </c>
      <c r="G5" s="174">
        <v>-190</v>
      </c>
      <c r="H5" s="204">
        <f>H6-(0.0254*1.7)</f>
        <v>1.3502799999999993</v>
      </c>
      <c r="I5" s="204">
        <f t="shared" ref="I5:AS5" si="1">I6-(0.0254*1.7)</f>
        <v>1.2764799999999994</v>
      </c>
      <c r="J5" s="204">
        <f t="shared" si="1"/>
        <v>1.3272799999999993</v>
      </c>
      <c r="K5" s="204">
        <f t="shared" si="1"/>
        <v>1.3018799999999993</v>
      </c>
      <c r="L5" s="204">
        <f t="shared" si="1"/>
        <v>1.3502799999999993</v>
      </c>
      <c r="M5" s="204">
        <f t="shared" si="1"/>
        <v>1.487579999999999</v>
      </c>
      <c r="N5" s="204">
        <f t="shared" si="1"/>
        <v>1.3272799999999993</v>
      </c>
      <c r="O5" s="204">
        <f t="shared" si="1"/>
        <v>0.60028000000000004</v>
      </c>
      <c r="P5" s="204">
        <f t="shared" si="1"/>
        <v>1.5510799999999991</v>
      </c>
      <c r="Q5" s="204">
        <f t="shared" si="1"/>
        <v>1.126479999999999</v>
      </c>
      <c r="R5" s="204">
        <f t="shared" si="1"/>
        <v>1.126479999999999</v>
      </c>
      <c r="S5" s="204">
        <f t="shared" si="1"/>
        <v>1.3780799999999993</v>
      </c>
      <c r="T5" s="204">
        <f t="shared" si="1"/>
        <v>0.36378000000000021</v>
      </c>
      <c r="U5" s="204">
        <f t="shared" si="1"/>
        <v>0.57728000000000013</v>
      </c>
      <c r="V5" s="204">
        <f t="shared" si="1"/>
        <v>0.95107999999999926</v>
      </c>
      <c r="W5" s="204">
        <f t="shared" si="1"/>
        <v>1.2764799999999994</v>
      </c>
      <c r="X5" s="204">
        <f t="shared" si="1"/>
        <v>1.3629799999999992</v>
      </c>
      <c r="Y5" s="204">
        <f t="shared" si="1"/>
        <v>1.4391799999999992</v>
      </c>
      <c r="Z5" s="204">
        <f t="shared" si="1"/>
        <v>1.3272799999999993</v>
      </c>
      <c r="AA5" s="204">
        <f t="shared" si="1"/>
        <v>0.87727999999999939</v>
      </c>
      <c r="AB5" s="204">
        <f t="shared" si="1"/>
        <v>1.3756799999999991</v>
      </c>
      <c r="AC5" s="204">
        <f t="shared" si="1"/>
        <v>1.3883799999999993</v>
      </c>
      <c r="AD5" s="204">
        <f t="shared" si="1"/>
        <v>0.55188000000000004</v>
      </c>
      <c r="AE5" s="204">
        <f t="shared" si="1"/>
        <v>1.3502799999999993</v>
      </c>
      <c r="AF5" s="204">
        <f t="shared" si="1"/>
        <v>1.0018799999999992</v>
      </c>
      <c r="AG5" s="204">
        <f t="shared" si="1"/>
        <v>1.3526799999999992</v>
      </c>
      <c r="AH5" s="204">
        <f t="shared" si="1"/>
        <v>1.2994799999999993</v>
      </c>
      <c r="AI5" s="204">
        <f t="shared" si="1"/>
        <v>1.2764799999999994</v>
      </c>
      <c r="AJ5" s="204">
        <f t="shared" si="1"/>
        <v>0.65107999999999988</v>
      </c>
      <c r="AK5" s="204">
        <f t="shared" si="1"/>
        <v>1.3272799999999993</v>
      </c>
      <c r="AL5" s="204">
        <f t="shared" si="1"/>
        <v>0.57728000000000013</v>
      </c>
      <c r="AM5" s="204">
        <f t="shared" si="1"/>
        <v>1.3502799999999993</v>
      </c>
      <c r="AN5" s="204">
        <f t="shared" si="1"/>
        <v>1.3272799999999993</v>
      </c>
      <c r="AO5" s="204">
        <f t="shared" si="1"/>
        <v>1.3780799999999993</v>
      </c>
      <c r="AP5" s="204">
        <f t="shared" si="1"/>
        <v>1.0248799999999991</v>
      </c>
      <c r="AQ5" s="204">
        <f t="shared" si="1"/>
        <v>1.3780799999999993</v>
      </c>
      <c r="AR5" s="204">
        <f t="shared" si="1"/>
        <v>1.3502799999999993</v>
      </c>
      <c r="AS5" s="204">
        <f t="shared" si="1"/>
        <v>1.3502799999999993</v>
      </c>
    </row>
    <row r="6" spans="1:45" x14ac:dyDescent="0.2">
      <c r="A6" s="174">
        <v>24.99</v>
      </c>
      <c r="B6" s="174" t="s">
        <v>206</v>
      </c>
      <c r="C6" s="204"/>
      <c r="D6" s="174">
        <v>24.99</v>
      </c>
      <c r="E6" s="204"/>
      <c r="F6" s="205">
        <v>3</v>
      </c>
      <c r="G6" s="174">
        <v>-180</v>
      </c>
      <c r="H6" s="204">
        <f>H7-(0.0254*1.6)</f>
        <v>1.3934599999999993</v>
      </c>
      <c r="I6" s="204">
        <f t="shared" ref="I6:AS6" si="2">I7-(0.0254*1.6)</f>
        <v>1.3196599999999994</v>
      </c>
      <c r="J6" s="204">
        <f t="shared" si="2"/>
        <v>1.3704599999999993</v>
      </c>
      <c r="K6" s="204">
        <f t="shared" si="2"/>
        <v>1.3450599999999993</v>
      </c>
      <c r="L6" s="204">
        <f t="shared" si="2"/>
        <v>1.3934599999999993</v>
      </c>
      <c r="M6" s="204">
        <f t="shared" si="2"/>
        <v>1.530759999999999</v>
      </c>
      <c r="N6" s="204">
        <f t="shared" si="2"/>
        <v>1.3704599999999993</v>
      </c>
      <c r="O6" s="204">
        <f t="shared" si="2"/>
        <v>0.64346000000000003</v>
      </c>
      <c r="P6" s="204">
        <f t="shared" si="2"/>
        <v>1.5942599999999991</v>
      </c>
      <c r="Q6" s="204">
        <f t="shared" si="2"/>
        <v>1.169659999999999</v>
      </c>
      <c r="R6" s="204">
        <f t="shared" si="2"/>
        <v>1.169659999999999</v>
      </c>
      <c r="S6" s="204">
        <f t="shared" si="2"/>
        <v>1.4212599999999993</v>
      </c>
      <c r="T6" s="204">
        <f t="shared" si="2"/>
        <v>0.40696000000000021</v>
      </c>
      <c r="U6" s="204">
        <f t="shared" si="2"/>
        <v>0.62046000000000012</v>
      </c>
      <c r="V6" s="204">
        <f t="shared" si="2"/>
        <v>0.99425999999999926</v>
      </c>
      <c r="W6" s="204">
        <f t="shared" si="2"/>
        <v>1.3196599999999994</v>
      </c>
      <c r="X6" s="204">
        <f t="shared" si="2"/>
        <v>1.4061599999999992</v>
      </c>
      <c r="Y6" s="204">
        <f t="shared" si="2"/>
        <v>1.4823599999999992</v>
      </c>
      <c r="Z6" s="204">
        <f t="shared" si="2"/>
        <v>1.3704599999999993</v>
      </c>
      <c r="AA6" s="204">
        <f t="shared" si="2"/>
        <v>0.92045999999999939</v>
      </c>
      <c r="AB6" s="204">
        <f t="shared" si="2"/>
        <v>1.4188599999999991</v>
      </c>
      <c r="AC6" s="204">
        <f t="shared" si="2"/>
        <v>1.4315599999999993</v>
      </c>
      <c r="AD6" s="204">
        <f t="shared" si="2"/>
        <v>0.59506000000000003</v>
      </c>
      <c r="AE6" s="204">
        <f t="shared" si="2"/>
        <v>1.3934599999999993</v>
      </c>
      <c r="AF6" s="204">
        <f t="shared" si="2"/>
        <v>1.0450599999999992</v>
      </c>
      <c r="AG6" s="204">
        <f t="shared" si="2"/>
        <v>1.3958599999999992</v>
      </c>
      <c r="AH6" s="204">
        <f t="shared" si="2"/>
        <v>1.3426599999999993</v>
      </c>
      <c r="AI6" s="204">
        <f t="shared" si="2"/>
        <v>1.3196599999999994</v>
      </c>
      <c r="AJ6" s="204">
        <f t="shared" si="2"/>
        <v>0.69425999999999988</v>
      </c>
      <c r="AK6" s="204">
        <f t="shared" si="2"/>
        <v>1.3704599999999993</v>
      </c>
      <c r="AL6" s="204">
        <f t="shared" si="2"/>
        <v>0.62046000000000012</v>
      </c>
      <c r="AM6" s="204">
        <f t="shared" si="2"/>
        <v>1.3934599999999993</v>
      </c>
      <c r="AN6" s="204">
        <f t="shared" si="2"/>
        <v>1.3704599999999993</v>
      </c>
      <c r="AO6" s="204">
        <f t="shared" si="2"/>
        <v>1.4212599999999993</v>
      </c>
      <c r="AP6" s="204">
        <f t="shared" si="2"/>
        <v>1.0680599999999991</v>
      </c>
      <c r="AQ6" s="204">
        <f t="shared" si="2"/>
        <v>1.4212599999999993</v>
      </c>
      <c r="AR6" s="204">
        <f t="shared" si="2"/>
        <v>1.3934599999999993</v>
      </c>
      <c r="AS6" s="204">
        <f t="shared" si="2"/>
        <v>1.3934599999999993</v>
      </c>
    </row>
    <row r="7" spans="1:45" x14ac:dyDescent="0.2">
      <c r="A7" s="174">
        <v>29.99</v>
      </c>
      <c r="B7" s="174" t="s">
        <v>3528</v>
      </c>
      <c r="C7" s="204"/>
      <c r="D7" s="174">
        <v>29.99</v>
      </c>
      <c r="E7" s="204"/>
      <c r="F7" s="205">
        <v>4</v>
      </c>
      <c r="G7" s="174">
        <v>-160</v>
      </c>
      <c r="H7" s="204">
        <f>H8-(0.0254*1.5)</f>
        <v>1.4340999999999993</v>
      </c>
      <c r="I7" s="204">
        <f t="shared" ref="I7:AS7" si="3">I8-(0.0254*1.5)</f>
        <v>1.3602999999999994</v>
      </c>
      <c r="J7" s="204">
        <f t="shared" si="3"/>
        <v>1.4110999999999994</v>
      </c>
      <c r="K7" s="204">
        <f t="shared" si="3"/>
        <v>1.3856999999999993</v>
      </c>
      <c r="L7" s="204">
        <f t="shared" si="3"/>
        <v>1.4340999999999993</v>
      </c>
      <c r="M7" s="204">
        <f t="shared" si="3"/>
        <v>1.571399999999999</v>
      </c>
      <c r="N7" s="204">
        <f t="shared" si="3"/>
        <v>1.4110999999999994</v>
      </c>
      <c r="O7" s="204">
        <f t="shared" si="3"/>
        <v>0.68410000000000004</v>
      </c>
      <c r="P7" s="204">
        <f t="shared" si="3"/>
        <v>1.6348999999999991</v>
      </c>
      <c r="Q7" s="204">
        <f t="shared" si="3"/>
        <v>1.210299999999999</v>
      </c>
      <c r="R7" s="204">
        <f t="shared" si="3"/>
        <v>1.210299999999999</v>
      </c>
      <c r="S7" s="204">
        <f t="shared" si="3"/>
        <v>1.4618999999999993</v>
      </c>
      <c r="T7" s="204">
        <f t="shared" si="3"/>
        <v>0.44760000000000022</v>
      </c>
      <c r="U7" s="204">
        <f t="shared" si="3"/>
        <v>0.66110000000000013</v>
      </c>
      <c r="V7" s="204">
        <f t="shared" si="3"/>
        <v>1.0348999999999993</v>
      </c>
      <c r="W7" s="204">
        <f t="shared" si="3"/>
        <v>1.3602999999999994</v>
      </c>
      <c r="X7" s="204">
        <f t="shared" si="3"/>
        <v>1.4467999999999992</v>
      </c>
      <c r="Y7" s="204">
        <f t="shared" si="3"/>
        <v>1.5229999999999992</v>
      </c>
      <c r="Z7" s="204">
        <f t="shared" si="3"/>
        <v>1.4110999999999994</v>
      </c>
      <c r="AA7" s="204">
        <f t="shared" si="3"/>
        <v>0.9610999999999994</v>
      </c>
      <c r="AB7" s="204">
        <f t="shared" si="3"/>
        <v>1.4594999999999991</v>
      </c>
      <c r="AC7" s="204">
        <f t="shared" si="3"/>
        <v>1.4721999999999993</v>
      </c>
      <c r="AD7" s="204">
        <f t="shared" si="3"/>
        <v>0.63570000000000004</v>
      </c>
      <c r="AE7" s="204">
        <f t="shared" si="3"/>
        <v>1.4340999999999993</v>
      </c>
      <c r="AF7" s="204">
        <f t="shared" si="3"/>
        <v>1.0856999999999992</v>
      </c>
      <c r="AG7" s="204">
        <f t="shared" si="3"/>
        <v>1.4364999999999992</v>
      </c>
      <c r="AH7" s="204">
        <f t="shared" si="3"/>
        <v>1.3832999999999993</v>
      </c>
      <c r="AI7" s="204">
        <f t="shared" si="3"/>
        <v>1.3602999999999994</v>
      </c>
      <c r="AJ7" s="204">
        <f t="shared" si="3"/>
        <v>0.73489999999999989</v>
      </c>
      <c r="AK7" s="204">
        <f t="shared" si="3"/>
        <v>1.4110999999999994</v>
      </c>
      <c r="AL7" s="204">
        <f t="shared" si="3"/>
        <v>0.66110000000000013</v>
      </c>
      <c r="AM7" s="204">
        <f t="shared" si="3"/>
        <v>1.4340999999999993</v>
      </c>
      <c r="AN7" s="204">
        <f t="shared" si="3"/>
        <v>1.4110999999999994</v>
      </c>
      <c r="AO7" s="204">
        <f t="shared" si="3"/>
        <v>1.4618999999999993</v>
      </c>
      <c r="AP7" s="204">
        <f t="shared" si="3"/>
        <v>1.1086999999999991</v>
      </c>
      <c r="AQ7" s="204">
        <f t="shared" si="3"/>
        <v>1.4618999999999993</v>
      </c>
      <c r="AR7" s="204">
        <f t="shared" si="3"/>
        <v>1.4340999999999993</v>
      </c>
      <c r="AS7" s="204">
        <f t="shared" si="3"/>
        <v>1.4340999999999993</v>
      </c>
    </row>
    <row r="8" spans="1:45" x14ac:dyDescent="0.2">
      <c r="A8" s="174">
        <v>34.99</v>
      </c>
      <c r="B8" s="174" t="s">
        <v>3529</v>
      </c>
      <c r="C8" s="204"/>
      <c r="D8" s="174">
        <v>34.99</v>
      </c>
      <c r="E8" s="204"/>
      <c r="F8" s="205">
        <v>5</v>
      </c>
      <c r="G8" s="174">
        <v>-90</v>
      </c>
      <c r="H8" s="204">
        <f>H9-(0.0254*1.4)</f>
        <v>1.4721999999999993</v>
      </c>
      <c r="I8" s="204">
        <f t="shared" ref="I8:AS8" si="4">I9-(0.0254*1.4)</f>
        <v>1.3983999999999994</v>
      </c>
      <c r="J8" s="204">
        <f t="shared" si="4"/>
        <v>1.4491999999999994</v>
      </c>
      <c r="K8" s="204">
        <f t="shared" si="4"/>
        <v>1.4237999999999993</v>
      </c>
      <c r="L8" s="204">
        <f t="shared" si="4"/>
        <v>1.4721999999999993</v>
      </c>
      <c r="M8" s="204">
        <f t="shared" si="4"/>
        <v>1.609499999999999</v>
      </c>
      <c r="N8" s="204">
        <f t="shared" si="4"/>
        <v>1.4491999999999994</v>
      </c>
      <c r="O8" s="204">
        <f t="shared" si="4"/>
        <v>0.72220000000000006</v>
      </c>
      <c r="P8" s="204">
        <f t="shared" si="4"/>
        <v>1.6729999999999992</v>
      </c>
      <c r="Q8" s="204">
        <f t="shared" si="4"/>
        <v>1.2483999999999991</v>
      </c>
      <c r="R8" s="204">
        <f t="shared" si="4"/>
        <v>1.2483999999999991</v>
      </c>
      <c r="S8" s="204">
        <f t="shared" si="4"/>
        <v>1.4999999999999993</v>
      </c>
      <c r="T8" s="204">
        <f t="shared" si="4"/>
        <v>0.48570000000000019</v>
      </c>
      <c r="U8" s="204">
        <f t="shared" si="4"/>
        <v>0.69920000000000015</v>
      </c>
      <c r="V8" s="204">
        <f t="shared" si="4"/>
        <v>1.0729999999999993</v>
      </c>
      <c r="W8" s="204">
        <f t="shared" si="4"/>
        <v>1.3983999999999994</v>
      </c>
      <c r="X8" s="204">
        <f t="shared" si="4"/>
        <v>1.4848999999999992</v>
      </c>
      <c r="Y8" s="204">
        <f t="shared" si="4"/>
        <v>1.5610999999999993</v>
      </c>
      <c r="Z8" s="204">
        <f t="shared" si="4"/>
        <v>1.4491999999999994</v>
      </c>
      <c r="AA8" s="204">
        <f t="shared" si="4"/>
        <v>0.99919999999999942</v>
      </c>
      <c r="AB8" s="204">
        <f t="shared" si="4"/>
        <v>1.4975999999999992</v>
      </c>
      <c r="AC8" s="204">
        <f t="shared" si="4"/>
        <v>1.5102999999999993</v>
      </c>
      <c r="AD8" s="204">
        <f t="shared" si="4"/>
        <v>0.67380000000000007</v>
      </c>
      <c r="AE8" s="204">
        <f t="shared" si="4"/>
        <v>1.4721999999999993</v>
      </c>
      <c r="AF8" s="204">
        <f t="shared" si="4"/>
        <v>1.1237999999999992</v>
      </c>
      <c r="AG8" s="204">
        <f t="shared" si="4"/>
        <v>1.4745999999999992</v>
      </c>
      <c r="AH8" s="204">
        <f t="shared" si="4"/>
        <v>1.4213999999999993</v>
      </c>
      <c r="AI8" s="204">
        <f t="shared" si="4"/>
        <v>1.3983999999999994</v>
      </c>
      <c r="AJ8" s="204">
        <f t="shared" si="4"/>
        <v>0.77299999999999991</v>
      </c>
      <c r="AK8" s="204">
        <f t="shared" si="4"/>
        <v>1.4491999999999994</v>
      </c>
      <c r="AL8" s="204">
        <f t="shared" si="4"/>
        <v>0.69920000000000015</v>
      </c>
      <c r="AM8" s="204">
        <f t="shared" si="4"/>
        <v>1.4721999999999993</v>
      </c>
      <c r="AN8" s="204">
        <f t="shared" si="4"/>
        <v>1.4491999999999994</v>
      </c>
      <c r="AO8" s="204">
        <f t="shared" si="4"/>
        <v>1.4999999999999993</v>
      </c>
      <c r="AP8" s="204">
        <f t="shared" si="4"/>
        <v>1.1467999999999992</v>
      </c>
      <c r="AQ8" s="204">
        <f t="shared" si="4"/>
        <v>1.4999999999999993</v>
      </c>
      <c r="AR8" s="204">
        <f t="shared" si="4"/>
        <v>1.4721999999999993</v>
      </c>
      <c r="AS8" s="204">
        <f t="shared" si="4"/>
        <v>1.4721999999999993</v>
      </c>
    </row>
    <row r="9" spans="1:45" x14ac:dyDescent="0.2">
      <c r="A9" s="174">
        <v>39.99</v>
      </c>
      <c r="B9" s="174" t="s">
        <v>3530</v>
      </c>
      <c r="C9" s="204"/>
      <c r="D9" s="174">
        <v>39.99</v>
      </c>
      <c r="E9" s="204"/>
      <c r="F9" s="205">
        <v>6</v>
      </c>
      <c r="G9" s="174">
        <v>-80</v>
      </c>
      <c r="H9" s="204">
        <f>H10-(0.0254*1.3)</f>
        <v>1.5077599999999993</v>
      </c>
      <c r="I9" s="204">
        <f t="shared" ref="I9:AS9" si="5">I10-(0.0254*1.3)</f>
        <v>1.4339599999999995</v>
      </c>
      <c r="J9" s="204">
        <f t="shared" si="5"/>
        <v>1.4847599999999994</v>
      </c>
      <c r="K9" s="204">
        <f t="shared" si="5"/>
        <v>1.4593599999999993</v>
      </c>
      <c r="L9" s="204">
        <f t="shared" si="5"/>
        <v>1.5077599999999993</v>
      </c>
      <c r="M9" s="204">
        <f t="shared" si="5"/>
        <v>1.6450599999999991</v>
      </c>
      <c r="N9" s="204">
        <f t="shared" si="5"/>
        <v>1.4847599999999994</v>
      </c>
      <c r="O9" s="204">
        <f t="shared" si="5"/>
        <v>0.7577600000000001</v>
      </c>
      <c r="P9" s="204">
        <f t="shared" si="5"/>
        <v>1.7085599999999992</v>
      </c>
      <c r="Q9" s="204">
        <f t="shared" si="5"/>
        <v>1.2839599999999991</v>
      </c>
      <c r="R9" s="204">
        <f t="shared" si="5"/>
        <v>1.2839599999999991</v>
      </c>
      <c r="S9" s="204">
        <f t="shared" si="5"/>
        <v>1.5355599999999994</v>
      </c>
      <c r="T9" s="204">
        <f t="shared" si="5"/>
        <v>0.52126000000000017</v>
      </c>
      <c r="U9" s="204">
        <f t="shared" si="5"/>
        <v>0.73476000000000019</v>
      </c>
      <c r="V9" s="204">
        <f t="shared" si="5"/>
        <v>1.1085599999999993</v>
      </c>
      <c r="W9" s="204">
        <f t="shared" si="5"/>
        <v>1.4339599999999995</v>
      </c>
      <c r="X9" s="204">
        <f t="shared" si="5"/>
        <v>1.5204599999999993</v>
      </c>
      <c r="Y9" s="204">
        <f t="shared" si="5"/>
        <v>1.5966599999999993</v>
      </c>
      <c r="Z9" s="204">
        <f t="shared" si="5"/>
        <v>1.4847599999999994</v>
      </c>
      <c r="AA9" s="204">
        <f t="shared" si="5"/>
        <v>1.0347599999999995</v>
      </c>
      <c r="AB9" s="204">
        <f t="shared" si="5"/>
        <v>1.5331599999999992</v>
      </c>
      <c r="AC9" s="204">
        <f t="shared" si="5"/>
        <v>1.5458599999999993</v>
      </c>
      <c r="AD9" s="204">
        <f t="shared" si="5"/>
        <v>0.7093600000000001</v>
      </c>
      <c r="AE9" s="204">
        <f t="shared" si="5"/>
        <v>1.5077599999999993</v>
      </c>
      <c r="AF9" s="204">
        <f t="shared" si="5"/>
        <v>1.1593599999999993</v>
      </c>
      <c r="AG9" s="204">
        <f t="shared" si="5"/>
        <v>1.5101599999999993</v>
      </c>
      <c r="AH9" s="204">
        <f t="shared" si="5"/>
        <v>1.4569599999999994</v>
      </c>
      <c r="AI9" s="204">
        <f t="shared" si="5"/>
        <v>1.4339599999999995</v>
      </c>
      <c r="AJ9" s="204">
        <f t="shared" si="5"/>
        <v>0.80855999999999995</v>
      </c>
      <c r="AK9" s="204">
        <f t="shared" si="5"/>
        <v>1.4847599999999994</v>
      </c>
      <c r="AL9" s="204">
        <f t="shared" si="5"/>
        <v>0.73476000000000019</v>
      </c>
      <c r="AM9" s="204">
        <f t="shared" si="5"/>
        <v>1.5077599999999993</v>
      </c>
      <c r="AN9" s="204">
        <f t="shared" si="5"/>
        <v>1.4847599999999994</v>
      </c>
      <c r="AO9" s="204">
        <f t="shared" si="5"/>
        <v>1.5355599999999994</v>
      </c>
      <c r="AP9" s="204">
        <f t="shared" si="5"/>
        <v>1.1823599999999992</v>
      </c>
      <c r="AQ9" s="204">
        <f t="shared" si="5"/>
        <v>1.5355599999999994</v>
      </c>
      <c r="AR9" s="204">
        <f t="shared" si="5"/>
        <v>1.5077599999999993</v>
      </c>
      <c r="AS9" s="204">
        <f t="shared" si="5"/>
        <v>1.5077599999999993</v>
      </c>
    </row>
    <row r="10" spans="1:45" x14ac:dyDescent="0.2">
      <c r="C10" s="204"/>
      <c r="D10" s="204"/>
      <c r="E10" s="204"/>
      <c r="F10" s="205">
        <v>7</v>
      </c>
      <c r="G10" s="174">
        <v>-65</v>
      </c>
      <c r="H10" s="204">
        <f>H11-(0.0254*1.2)</f>
        <v>1.5407799999999994</v>
      </c>
      <c r="I10" s="204">
        <f t="shared" ref="I10:AS10" si="6">I11-(0.0254*1.2)</f>
        <v>1.4669799999999995</v>
      </c>
      <c r="J10" s="204">
        <f t="shared" si="6"/>
        <v>1.5177799999999995</v>
      </c>
      <c r="K10" s="204">
        <f t="shared" si="6"/>
        <v>1.4923799999999994</v>
      </c>
      <c r="L10" s="204">
        <f t="shared" si="6"/>
        <v>1.5407799999999994</v>
      </c>
      <c r="M10" s="204">
        <f t="shared" si="6"/>
        <v>1.6780799999999991</v>
      </c>
      <c r="N10" s="204">
        <f t="shared" si="6"/>
        <v>1.5177799999999995</v>
      </c>
      <c r="O10" s="204">
        <f t="shared" si="6"/>
        <v>0.79078000000000015</v>
      </c>
      <c r="P10" s="204">
        <f t="shared" si="6"/>
        <v>1.7415799999999992</v>
      </c>
      <c r="Q10" s="204">
        <f t="shared" si="6"/>
        <v>1.3169799999999992</v>
      </c>
      <c r="R10" s="204">
        <f t="shared" si="6"/>
        <v>1.3169799999999992</v>
      </c>
      <c r="S10" s="204">
        <f t="shared" si="6"/>
        <v>1.5685799999999994</v>
      </c>
      <c r="T10" s="204">
        <f t="shared" si="6"/>
        <v>0.55428000000000022</v>
      </c>
      <c r="U10" s="204">
        <f t="shared" si="6"/>
        <v>0.76778000000000024</v>
      </c>
      <c r="V10" s="204">
        <f t="shared" si="6"/>
        <v>1.1415799999999994</v>
      </c>
      <c r="W10" s="204">
        <f t="shared" si="6"/>
        <v>1.4669799999999995</v>
      </c>
      <c r="X10" s="204">
        <f t="shared" si="6"/>
        <v>1.5534799999999993</v>
      </c>
      <c r="Y10" s="204">
        <f t="shared" si="6"/>
        <v>1.6296799999999994</v>
      </c>
      <c r="Z10" s="204">
        <f t="shared" si="6"/>
        <v>1.5177799999999995</v>
      </c>
      <c r="AA10" s="204">
        <f t="shared" si="6"/>
        <v>1.0677799999999995</v>
      </c>
      <c r="AB10" s="204">
        <f t="shared" si="6"/>
        <v>1.5661799999999992</v>
      </c>
      <c r="AC10" s="204">
        <f t="shared" si="6"/>
        <v>1.5788799999999994</v>
      </c>
      <c r="AD10" s="204">
        <f t="shared" si="6"/>
        <v>0.74238000000000015</v>
      </c>
      <c r="AE10" s="204">
        <f t="shared" si="6"/>
        <v>1.5407799999999994</v>
      </c>
      <c r="AF10" s="204">
        <f t="shared" si="6"/>
        <v>1.1923799999999993</v>
      </c>
      <c r="AG10" s="204">
        <f t="shared" si="6"/>
        <v>1.5431799999999993</v>
      </c>
      <c r="AH10" s="204">
        <f t="shared" si="6"/>
        <v>1.4899799999999994</v>
      </c>
      <c r="AI10" s="204">
        <f t="shared" si="6"/>
        <v>1.4669799999999995</v>
      </c>
      <c r="AJ10" s="204">
        <f t="shared" si="6"/>
        <v>0.84157999999999999</v>
      </c>
      <c r="AK10" s="204">
        <f t="shared" si="6"/>
        <v>1.5177799999999995</v>
      </c>
      <c r="AL10" s="204">
        <f t="shared" si="6"/>
        <v>0.76778000000000024</v>
      </c>
      <c r="AM10" s="204">
        <f t="shared" si="6"/>
        <v>1.5407799999999994</v>
      </c>
      <c r="AN10" s="204">
        <f t="shared" si="6"/>
        <v>1.5177799999999995</v>
      </c>
      <c r="AO10" s="204">
        <f t="shared" si="6"/>
        <v>1.5685799999999994</v>
      </c>
      <c r="AP10" s="204">
        <f t="shared" si="6"/>
        <v>1.2153799999999992</v>
      </c>
      <c r="AQ10" s="204">
        <f t="shared" si="6"/>
        <v>1.5685799999999994</v>
      </c>
      <c r="AR10" s="204">
        <f t="shared" si="6"/>
        <v>1.5407799999999994</v>
      </c>
      <c r="AS10" s="204">
        <f t="shared" si="6"/>
        <v>1.5407799999999994</v>
      </c>
    </row>
    <row r="11" spans="1:45" x14ac:dyDescent="0.2">
      <c r="C11" s="204"/>
      <c r="D11" s="204"/>
      <c r="E11" s="204"/>
      <c r="F11" s="205">
        <v>8</v>
      </c>
      <c r="G11" s="174">
        <v>-40</v>
      </c>
      <c r="H11" s="204">
        <f>H12-(0.0254*1.1)</f>
        <v>1.5712599999999994</v>
      </c>
      <c r="I11" s="204">
        <f t="shared" ref="I11:AS11" si="7">I12-(0.0254*1.1)</f>
        <v>1.4974599999999996</v>
      </c>
      <c r="J11" s="204">
        <f t="shared" si="7"/>
        <v>1.5482599999999995</v>
      </c>
      <c r="K11" s="204">
        <f t="shared" si="7"/>
        <v>1.5228599999999994</v>
      </c>
      <c r="L11" s="204">
        <f t="shared" si="7"/>
        <v>1.5712599999999994</v>
      </c>
      <c r="M11" s="204">
        <f t="shared" si="7"/>
        <v>1.7085599999999992</v>
      </c>
      <c r="N11" s="204">
        <f t="shared" si="7"/>
        <v>1.5482599999999995</v>
      </c>
      <c r="O11" s="204">
        <f t="shared" si="7"/>
        <v>0.8212600000000001</v>
      </c>
      <c r="P11" s="204">
        <f t="shared" si="7"/>
        <v>1.7720599999999993</v>
      </c>
      <c r="Q11" s="204">
        <f t="shared" si="7"/>
        <v>1.3474599999999992</v>
      </c>
      <c r="R11" s="204">
        <f t="shared" si="7"/>
        <v>1.3474599999999992</v>
      </c>
      <c r="S11" s="204">
        <f t="shared" si="7"/>
        <v>1.5990599999999995</v>
      </c>
      <c r="T11" s="204">
        <f t="shared" si="7"/>
        <v>0.58476000000000017</v>
      </c>
      <c r="U11" s="204">
        <f t="shared" si="7"/>
        <v>0.79826000000000019</v>
      </c>
      <c r="V11" s="204">
        <f t="shared" si="7"/>
        <v>1.1720599999999994</v>
      </c>
      <c r="W11" s="204">
        <f t="shared" si="7"/>
        <v>1.4974599999999996</v>
      </c>
      <c r="X11" s="204">
        <f t="shared" si="7"/>
        <v>1.5839599999999994</v>
      </c>
      <c r="Y11" s="204">
        <f t="shared" si="7"/>
        <v>1.6601599999999994</v>
      </c>
      <c r="Z11" s="204">
        <f t="shared" si="7"/>
        <v>1.5482599999999995</v>
      </c>
      <c r="AA11" s="204">
        <f t="shared" si="7"/>
        <v>1.0982599999999996</v>
      </c>
      <c r="AB11" s="204">
        <f t="shared" si="7"/>
        <v>1.5966599999999993</v>
      </c>
      <c r="AC11" s="204">
        <f t="shared" si="7"/>
        <v>1.6093599999999995</v>
      </c>
      <c r="AD11" s="204">
        <f t="shared" si="7"/>
        <v>0.7728600000000001</v>
      </c>
      <c r="AE11" s="204">
        <f t="shared" si="7"/>
        <v>1.5712599999999994</v>
      </c>
      <c r="AF11" s="204">
        <f t="shared" si="7"/>
        <v>1.2228599999999994</v>
      </c>
      <c r="AG11" s="204">
        <f t="shared" si="7"/>
        <v>1.5736599999999994</v>
      </c>
      <c r="AH11" s="204">
        <f t="shared" si="7"/>
        <v>1.5204599999999995</v>
      </c>
      <c r="AI11" s="204">
        <f t="shared" si="7"/>
        <v>1.4974599999999996</v>
      </c>
      <c r="AJ11" s="204">
        <f t="shared" si="7"/>
        <v>0.87205999999999995</v>
      </c>
      <c r="AK11" s="204">
        <f t="shared" si="7"/>
        <v>1.5482599999999995</v>
      </c>
      <c r="AL11" s="204">
        <f t="shared" si="7"/>
        <v>0.79826000000000019</v>
      </c>
      <c r="AM11" s="204">
        <f t="shared" si="7"/>
        <v>1.5712599999999994</v>
      </c>
      <c r="AN11" s="204">
        <f t="shared" si="7"/>
        <v>1.5482599999999995</v>
      </c>
      <c r="AO11" s="204">
        <f t="shared" si="7"/>
        <v>1.5990599999999995</v>
      </c>
      <c r="AP11" s="204">
        <f t="shared" si="7"/>
        <v>1.2458599999999993</v>
      </c>
      <c r="AQ11" s="204">
        <f t="shared" si="7"/>
        <v>1.5990599999999995</v>
      </c>
      <c r="AR11" s="204">
        <f t="shared" si="7"/>
        <v>1.5712599999999994</v>
      </c>
      <c r="AS11" s="204">
        <f t="shared" si="7"/>
        <v>1.5712599999999994</v>
      </c>
    </row>
    <row r="12" spans="1:45" x14ac:dyDescent="0.2">
      <c r="C12" s="204"/>
      <c r="D12" s="204"/>
      <c r="E12" s="204"/>
      <c r="F12" s="205">
        <v>9</v>
      </c>
      <c r="G12" s="174">
        <v>6</v>
      </c>
      <c r="H12" s="204">
        <f t="shared" ref="H12:H15" si="8">H13-0.0254</f>
        <v>1.5991999999999995</v>
      </c>
      <c r="I12" s="204">
        <f t="shared" ref="I12:I16" si="9">I13-0.0254</f>
        <v>1.5253999999999996</v>
      </c>
      <c r="J12" s="204">
        <f t="shared" ref="J12:J16" si="10">J13-0.0254</f>
        <v>1.5761999999999996</v>
      </c>
      <c r="K12" s="204">
        <f t="shared" ref="K12:K16" si="11">K13-0.0254</f>
        <v>1.5507999999999995</v>
      </c>
      <c r="L12" s="204">
        <f t="shared" ref="L12:L16" si="12">L13-0.0254</f>
        <v>1.5991999999999995</v>
      </c>
      <c r="M12" s="204">
        <f t="shared" ref="M12:M16" si="13">M13-0.0254</f>
        <v>1.7364999999999993</v>
      </c>
      <c r="N12" s="204">
        <f t="shared" ref="N12:N16" si="14">N13-0.0254</f>
        <v>1.5761999999999996</v>
      </c>
      <c r="O12" s="204">
        <f t="shared" ref="O12:O16" si="15">O13-0.0254</f>
        <v>0.84920000000000007</v>
      </c>
      <c r="P12" s="204">
        <f t="shared" ref="P12:P16" si="16">P13-0.0254</f>
        <v>1.7999999999999994</v>
      </c>
      <c r="Q12" s="204">
        <f t="shared" ref="Q12:Q16" si="17">Q13-0.0254</f>
        <v>1.3753999999999993</v>
      </c>
      <c r="R12" s="204">
        <f t="shared" ref="R12:R16" si="18">R13-0.0254</f>
        <v>1.3753999999999993</v>
      </c>
      <c r="S12" s="204">
        <f t="shared" ref="S12:S16" si="19">S13-0.0254</f>
        <v>1.6269999999999996</v>
      </c>
      <c r="T12" s="204">
        <f t="shared" ref="T12:T16" si="20">T13-0.0254</f>
        <v>0.61270000000000013</v>
      </c>
      <c r="U12" s="204">
        <f t="shared" ref="U12:U16" si="21">U13-0.0254</f>
        <v>0.82620000000000016</v>
      </c>
      <c r="V12" s="204">
        <f t="shared" ref="V12:V16" si="22">V13-0.0254</f>
        <v>1.1999999999999995</v>
      </c>
      <c r="W12" s="204">
        <f t="shared" ref="W12:W16" si="23">W13-0.0254</f>
        <v>1.5253999999999996</v>
      </c>
      <c r="X12" s="204">
        <f t="shared" ref="X12:X16" si="24">X13-0.0254</f>
        <v>1.6118999999999994</v>
      </c>
      <c r="Y12" s="204">
        <f t="shared" ref="Y12:Y16" si="25">Y13-0.0254</f>
        <v>1.6880999999999995</v>
      </c>
      <c r="Z12" s="204">
        <f t="shared" ref="Z12:Z16" si="26">Z13-0.0254</f>
        <v>1.5761999999999996</v>
      </c>
      <c r="AA12" s="204">
        <f t="shared" ref="AA12:AA16" si="27">AA13-0.0254</f>
        <v>1.1261999999999996</v>
      </c>
      <c r="AB12" s="204">
        <f t="shared" ref="AB12:AB16" si="28">AB13-0.0254</f>
        <v>1.6245999999999994</v>
      </c>
      <c r="AC12" s="204">
        <f t="shared" ref="AC12:AC16" si="29">AC13-0.0254</f>
        <v>1.6372999999999995</v>
      </c>
      <c r="AD12" s="204">
        <f t="shared" ref="AD12:AD16" si="30">AD13-0.0254</f>
        <v>0.80080000000000007</v>
      </c>
      <c r="AE12" s="204">
        <f t="shared" ref="AE12:AE16" si="31">AE13-0.0254</f>
        <v>1.5991999999999995</v>
      </c>
      <c r="AF12" s="204">
        <f t="shared" ref="AF12:AF16" si="32">AF13-0.0254</f>
        <v>1.2507999999999995</v>
      </c>
      <c r="AG12" s="204">
        <f t="shared" ref="AG12:AG16" si="33">AG13-0.0254</f>
        <v>1.6015999999999995</v>
      </c>
      <c r="AH12" s="204">
        <f t="shared" ref="AH12:AH16" si="34">AH13-0.0254</f>
        <v>1.5483999999999996</v>
      </c>
      <c r="AI12" s="204">
        <f t="shared" ref="AI12:AI16" si="35">AI13-0.0254</f>
        <v>1.5253999999999996</v>
      </c>
      <c r="AJ12" s="204">
        <f t="shared" ref="AJ12:AJ16" si="36">AJ13-0.0254</f>
        <v>0.89999999999999991</v>
      </c>
      <c r="AK12" s="204">
        <f t="shared" ref="AK12:AK16" si="37">AK13-0.0254</f>
        <v>1.5761999999999996</v>
      </c>
      <c r="AL12" s="204">
        <f t="shared" ref="AL12:AL16" si="38">AL13-0.0254</f>
        <v>0.82620000000000016</v>
      </c>
      <c r="AM12" s="204">
        <f t="shared" ref="AM12:AM16" si="39">AM13-0.0254</f>
        <v>1.5991999999999995</v>
      </c>
      <c r="AN12" s="204">
        <f t="shared" ref="AN12:AN16" si="40">AN13-0.0254</f>
        <v>1.5761999999999996</v>
      </c>
      <c r="AO12" s="204">
        <f t="shared" ref="AO12:AO16" si="41">AO13-0.0254</f>
        <v>1.6269999999999996</v>
      </c>
      <c r="AP12" s="204">
        <f t="shared" ref="AP12:AP16" si="42">AP13-0.0254</f>
        <v>1.2737999999999994</v>
      </c>
      <c r="AQ12" s="204">
        <f t="shared" ref="AQ12:AQ16" si="43">AQ13-0.0254</f>
        <v>1.6269999999999996</v>
      </c>
      <c r="AR12" s="204">
        <f t="shared" ref="AR12:AR16" si="44">AR13-0.0254</f>
        <v>1.5991999999999995</v>
      </c>
      <c r="AS12" s="204">
        <f t="shared" ref="AS12:AS16" si="45">AS13-0.0254</f>
        <v>1.5991999999999995</v>
      </c>
    </row>
    <row r="13" spans="1:45" x14ac:dyDescent="0.2">
      <c r="C13" s="204"/>
      <c r="D13" s="204"/>
      <c r="E13" s="204"/>
      <c r="F13" s="205">
        <v>10</v>
      </c>
      <c r="G13" s="174">
        <v>9</v>
      </c>
      <c r="H13" s="204">
        <f t="shared" si="8"/>
        <v>1.6245999999999996</v>
      </c>
      <c r="I13" s="204">
        <f t="shared" si="9"/>
        <v>1.5507999999999997</v>
      </c>
      <c r="J13" s="204">
        <f t="shared" si="10"/>
        <v>1.6015999999999997</v>
      </c>
      <c r="K13" s="204">
        <f t="shared" si="11"/>
        <v>1.5761999999999996</v>
      </c>
      <c r="L13" s="204">
        <f t="shared" si="12"/>
        <v>1.6245999999999996</v>
      </c>
      <c r="M13" s="204">
        <f t="shared" si="13"/>
        <v>1.7618999999999994</v>
      </c>
      <c r="N13" s="204">
        <f t="shared" si="14"/>
        <v>1.6015999999999997</v>
      </c>
      <c r="O13" s="204">
        <f t="shared" si="15"/>
        <v>0.87460000000000004</v>
      </c>
      <c r="P13" s="204">
        <f t="shared" si="16"/>
        <v>1.8253999999999995</v>
      </c>
      <c r="Q13" s="204">
        <f t="shared" si="17"/>
        <v>1.4007999999999994</v>
      </c>
      <c r="R13" s="204">
        <f t="shared" si="18"/>
        <v>1.4007999999999994</v>
      </c>
      <c r="S13" s="204">
        <f t="shared" si="19"/>
        <v>1.6523999999999996</v>
      </c>
      <c r="T13" s="204">
        <f t="shared" si="20"/>
        <v>0.63810000000000011</v>
      </c>
      <c r="U13" s="204">
        <f t="shared" si="21"/>
        <v>0.85160000000000013</v>
      </c>
      <c r="V13" s="204">
        <f t="shared" si="22"/>
        <v>1.2253999999999996</v>
      </c>
      <c r="W13" s="204">
        <f t="shared" si="23"/>
        <v>1.5507999999999997</v>
      </c>
      <c r="X13" s="204">
        <f t="shared" si="24"/>
        <v>1.6372999999999995</v>
      </c>
      <c r="Y13" s="204">
        <f t="shared" si="25"/>
        <v>1.7134999999999996</v>
      </c>
      <c r="Z13" s="204">
        <f t="shared" si="26"/>
        <v>1.6015999999999997</v>
      </c>
      <c r="AA13" s="204">
        <f t="shared" si="27"/>
        <v>1.1515999999999997</v>
      </c>
      <c r="AB13" s="204">
        <f t="shared" si="28"/>
        <v>1.6499999999999995</v>
      </c>
      <c r="AC13" s="204">
        <f t="shared" si="29"/>
        <v>1.6626999999999996</v>
      </c>
      <c r="AD13" s="204">
        <f t="shared" si="30"/>
        <v>0.82620000000000005</v>
      </c>
      <c r="AE13" s="204">
        <f t="shared" si="31"/>
        <v>1.6245999999999996</v>
      </c>
      <c r="AF13" s="204">
        <f t="shared" si="32"/>
        <v>1.2761999999999996</v>
      </c>
      <c r="AG13" s="204">
        <f t="shared" si="33"/>
        <v>1.6269999999999996</v>
      </c>
      <c r="AH13" s="204">
        <f t="shared" si="34"/>
        <v>1.5737999999999996</v>
      </c>
      <c r="AI13" s="204">
        <f t="shared" si="35"/>
        <v>1.5507999999999997</v>
      </c>
      <c r="AJ13" s="204">
        <f t="shared" si="36"/>
        <v>0.92539999999999989</v>
      </c>
      <c r="AK13" s="204">
        <f t="shared" si="37"/>
        <v>1.6015999999999997</v>
      </c>
      <c r="AL13" s="204">
        <f t="shared" si="38"/>
        <v>0.85160000000000013</v>
      </c>
      <c r="AM13" s="204">
        <f t="shared" si="39"/>
        <v>1.6245999999999996</v>
      </c>
      <c r="AN13" s="204">
        <f t="shared" si="40"/>
        <v>1.6015999999999997</v>
      </c>
      <c r="AO13" s="204">
        <f t="shared" si="41"/>
        <v>1.6523999999999996</v>
      </c>
      <c r="AP13" s="204">
        <f t="shared" si="42"/>
        <v>1.2991999999999995</v>
      </c>
      <c r="AQ13" s="204">
        <f t="shared" si="43"/>
        <v>1.6523999999999996</v>
      </c>
      <c r="AR13" s="204">
        <f t="shared" si="44"/>
        <v>1.6245999999999996</v>
      </c>
      <c r="AS13" s="204">
        <f t="shared" si="45"/>
        <v>1.6245999999999996</v>
      </c>
    </row>
    <row r="14" spans="1:45" x14ac:dyDescent="0.2">
      <c r="C14" s="204"/>
      <c r="D14" s="204"/>
      <c r="E14" s="204"/>
      <c r="F14" s="205">
        <v>11</v>
      </c>
      <c r="G14" s="174">
        <v>15</v>
      </c>
      <c r="H14" s="204">
        <f t="shared" si="8"/>
        <v>1.6499999999999997</v>
      </c>
      <c r="I14" s="204">
        <f t="shared" si="9"/>
        <v>1.5761999999999998</v>
      </c>
      <c r="J14" s="204">
        <f t="shared" si="10"/>
        <v>1.6269999999999998</v>
      </c>
      <c r="K14" s="204">
        <f t="shared" si="11"/>
        <v>1.6015999999999997</v>
      </c>
      <c r="L14" s="204">
        <f t="shared" si="12"/>
        <v>1.6499999999999997</v>
      </c>
      <c r="M14" s="204">
        <f t="shared" si="13"/>
        <v>1.7872999999999994</v>
      </c>
      <c r="N14" s="204">
        <f t="shared" si="14"/>
        <v>1.6269999999999998</v>
      </c>
      <c r="O14" s="204">
        <f t="shared" si="15"/>
        <v>0.9</v>
      </c>
      <c r="P14" s="204">
        <f t="shared" si="16"/>
        <v>1.8507999999999996</v>
      </c>
      <c r="Q14" s="204">
        <f t="shared" si="17"/>
        <v>1.4261999999999995</v>
      </c>
      <c r="R14" s="204">
        <f t="shared" si="18"/>
        <v>1.4261999999999995</v>
      </c>
      <c r="S14" s="204">
        <f t="shared" si="19"/>
        <v>1.6777999999999997</v>
      </c>
      <c r="T14" s="204">
        <f t="shared" si="20"/>
        <v>0.66350000000000009</v>
      </c>
      <c r="U14" s="204">
        <f t="shared" si="21"/>
        <v>0.87700000000000011</v>
      </c>
      <c r="V14" s="204">
        <f t="shared" si="22"/>
        <v>1.2507999999999997</v>
      </c>
      <c r="W14" s="204">
        <f t="shared" si="23"/>
        <v>1.5761999999999998</v>
      </c>
      <c r="X14" s="204">
        <f t="shared" si="24"/>
        <v>1.6626999999999996</v>
      </c>
      <c r="Y14" s="204">
        <f t="shared" si="25"/>
        <v>1.7388999999999997</v>
      </c>
      <c r="Z14" s="204">
        <f t="shared" si="26"/>
        <v>1.6269999999999998</v>
      </c>
      <c r="AA14" s="204">
        <f t="shared" si="27"/>
        <v>1.1769999999999998</v>
      </c>
      <c r="AB14" s="204">
        <f t="shared" si="28"/>
        <v>1.6753999999999996</v>
      </c>
      <c r="AC14" s="204">
        <f t="shared" si="29"/>
        <v>1.6880999999999997</v>
      </c>
      <c r="AD14" s="204">
        <f t="shared" si="30"/>
        <v>0.85160000000000002</v>
      </c>
      <c r="AE14" s="204">
        <f t="shared" si="31"/>
        <v>1.6499999999999997</v>
      </c>
      <c r="AF14" s="204">
        <f t="shared" si="32"/>
        <v>1.3015999999999996</v>
      </c>
      <c r="AG14" s="204">
        <f t="shared" si="33"/>
        <v>1.6523999999999996</v>
      </c>
      <c r="AH14" s="204">
        <f t="shared" si="34"/>
        <v>1.5991999999999997</v>
      </c>
      <c r="AI14" s="204">
        <f t="shared" si="35"/>
        <v>1.5761999999999998</v>
      </c>
      <c r="AJ14" s="204">
        <f t="shared" si="36"/>
        <v>0.95079999999999987</v>
      </c>
      <c r="AK14" s="204">
        <f t="shared" si="37"/>
        <v>1.6269999999999998</v>
      </c>
      <c r="AL14" s="204">
        <f t="shared" si="38"/>
        <v>0.87700000000000011</v>
      </c>
      <c r="AM14" s="204">
        <f t="shared" si="39"/>
        <v>1.6499999999999997</v>
      </c>
      <c r="AN14" s="204">
        <f t="shared" si="40"/>
        <v>1.6269999999999998</v>
      </c>
      <c r="AO14" s="204">
        <f t="shared" si="41"/>
        <v>1.6777999999999997</v>
      </c>
      <c r="AP14" s="204">
        <f t="shared" si="42"/>
        <v>1.3245999999999996</v>
      </c>
      <c r="AQ14" s="204">
        <f t="shared" si="43"/>
        <v>1.6777999999999997</v>
      </c>
      <c r="AR14" s="204">
        <f t="shared" si="44"/>
        <v>1.6499999999999997</v>
      </c>
      <c r="AS14" s="204">
        <f t="shared" si="45"/>
        <v>1.6499999999999997</v>
      </c>
    </row>
    <row r="15" spans="1:45" x14ac:dyDescent="0.2">
      <c r="C15" s="204"/>
      <c r="D15" s="204"/>
      <c r="E15" s="204"/>
      <c r="F15" s="205">
        <v>12</v>
      </c>
      <c r="G15" s="174">
        <v>24</v>
      </c>
      <c r="H15" s="204">
        <f t="shared" si="8"/>
        <v>1.6753999999999998</v>
      </c>
      <c r="I15" s="204">
        <f t="shared" si="9"/>
        <v>1.6015999999999999</v>
      </c>
      <c r="J15" s="204">
        <f t="shared" si="10"/>
        <v>1.6523999999999999</v>
      </c>
      <c r="K15" s="204">
        <f t="shared" si="11"/>
        <v>1.6269999999999998</v>
      </c>
      <c r="L15" s="204">
        <f t="shared" si="12"/>
        <v>1.6753999999999998</v>
      </c>
      <c r="M15" s="204">
        <f t="shared" si="13"/>
        <v>1.8126999999999995</v>
      </c>
      <c r="N15" s="204">
        <f t="shared" si="14"/>
        <v>1.6523999999999999</v>
      </c>
      <c r="O15" s="204">
        <f t="shared" si="15"/>
        <v>0.9254</v>
      </c>
      <c r="P15" s="204">
        <f t="shared" si="16"/>
        <v>1.8761999999999996</v>
      </c>
      <c r="Q15" s="204">
        <f t="shared" si="17"/>
        <v>1.4515999999999996</v>
      </c>
      <c r="R15" s="204">
        <f t="shared" si="18"/>
        <v>1.4515999999999996</v>
      </c>
      <c r="S15" s="204">
        <f t="shared" si="19"/>
        <v>1.7031999999999998</v>
      </c>
      <c r="T15" s="204">
        <f t="shared" si="20"/>
        <v>0.68890000000000007</v>
      </c>
      <c r="U15" s="204">
        <f t="shared" si="21"/>
        <v>0.90240000000000009</v>
      </c>
      <c r="V15" s="204">
        <f t="shared" si="22"/>
        <v>1.2761999999999998</v>
      </c>
      <c r="W15" s="204">
        <f t="shared" si="23"/>
        <v>1.6015999999999999</v>
      </c>
      <c r="X15" s="204">
        <f t="shared" si="24"/>
        <v>1.6880999999999997</v>
      </c>
      <c r="Y15" s="204">
        <f t="shared" si="25"/>
        <v>1.7642999999999998</v>
      </c>
      <c r="Z15" s="204">
        <f t="shared" si="26"/>
        <v>1.6523999999999999</v>
      </c>
      <c r="AA15" s="204">
        <f t="shared" si="27"/>
        <v>1.2023999999999999</v>
      </c>
      <c r="AB15" s="204">
        <f t="shared" si="28"/>
        <v>1.7007999999999996</v>
      </c>
      <c r="AC15" s="204">
        <f t="shared" si="29"/>
        <v>1.7134999999999998</v>
      </c>
      <c r="AD15" s="204">
        <f t="shared" si="30"/>
        <v>0.877</v>
      </c>
      <c r="AE15" s="204">
        <f t="shared" si="31"/>
        <v>1.6753999999999998</v>
      </c>
      <c r="AF15" s="204">
        <f t="shared" si="32"/>
        <v>1.3269999999999997</v>
      </c>
      <c r="AG15" s="204">
        <f t="shared" si="33"/>
        <v>1.6777999999999997</v>
      </c>
      <c r="AH15" s="204">
        <f t="shared" si="34"/>
        <v>1.6245999999999998</v>
      </c>
      <c r="AI15" s="204">
        <f t="shared" si="35"/>
        <v>1.6015999999999999</v>
      </c>
      <c r="AJ15" s="204">
        <f t="shared" si="36"/>
        <v>0.97619999999999985</v>
      </c>
      <c r="AK15" s="204">
        <f t="shared" si="37"/>
        <v>1.6523999999999999</v>
      </c>
      <c r="AL15" s="204">
        <f t="shared" si="38"/>
        <v>0.90240000000000009</v>
      </c>
      <c r="AM15" s="204">
        <f t="shared" si="39"/>
        <v>1.6753999999999998</v>
      </c>
      <c r="AN15" s="204">
        <f t="shared" si="40"/>
        <v>1.6523999999999999</v>
      </c>
      <c r="AO15" s="204">
        <f t="shared" si="41"/>
        <v>1.7031999999999998</v>
      </c>
      <c r="AP15" s="204">
        <f t="shared" si="42"/>
        <v>1.3499999999999996</v>
      </c>
      <c r="AQ15" s="204">
        <f t="shared" si="43"/>
        <v>1.7031999999999998</v>
      </c>
      <c r="AR15" s="204">
        <f t="shared" si="44"/>
        <v>1.6753999999999998</v>
      </c>
      <c r="AS15" s="204">
        <f t="shared" si="45"/>
        <v>1.6753999999999998</v>
      </c>
    </row>
    <row r="16" spans="1:45" x14ac:dyDescent="0.2">
      <c r="C16" s="204" t="s">
        <v>3531</v>
      </c>
      <c r="D16" s="204">
        <v>170</v>
      </c>
      <c r="E16" s="204"/>
      <c r="F16" s="205">
        <v>13</v>
      </c>
      <c r="G16" s="174">
        <v>36</v>
      </c>
      <c r="H16" s="204">
        <f>H17-0.0254</f>
        <v>1.7007999999999999</v>
      </c>
      <c r="I16" s="204">
        <f t="shared" si="9"/>
        <v>1.627</v>
      </c>
      <c r="J16" s="204">
        <f t="shared" si="10"/>
        <v>1.6778</v>
      </c>
      <c r="K16" s="204">
        <f t="shared" si="11"/>
        <v>1.6523999999999999</v>
      </c>
      <c r="L16" s="204">
        <f t="shared" si="12"/>
        <v>1.7007999999999999</v>
      </c>
      <c r="M16" s="204">
        <f t="shared" si="13"/>
        <v>1.8380999999999996</v>
      </c>
      <c r="N16" s="204">
        <f t="shared" si="14"/>
        <v>1.6778</v>
      </c>
      <c r="O16" s="204">
        <f t="shared" si="15"/>
        <v>0.95079999999999998</v>
      </c>
      <c r="P16" s="204">
        <f t="shared" si="16"/>
        <v>1.9015999999999997</v>
      </c>
      <c r="Q16" s="204">
        <f t="shared" si="17"/>
        <v>1.4769999999999996</v>
      </c>
      <c r="R16" s="204">
        <f t="shared" si="18"/>
        <v>1.4769999999999996</v>
      </c>
      <c r="S16" s="204">
        <f t="shared" si="19"/>
        <v>1.7285999999999999</v>
      </c>
      <c r="T16" s="204">
        <f t="shared" si="20"/>
        <v>0.71430000000000005</v>
      </c>
      <c r="U16" s="204">
        <f t="shared" si="21"/>
        <v>0.92780000000000007</v>
      </c>
      <c r="V16" s="204">
        <f t="shared" si="22"/>
        <v>1.3015999999999999</v>
      </c>
      <c r="W16" s="204">
        <f t="shared" si="23"/>
        <v>1.627</v>
      </c>
      <c r="X16" s="204">
        <f t="shared" si="24"/>
        <v>1.7134999999999998</v>
      </c>
      <c r="Y16" s="204">
        <f t="shared" si="25"/>
        <v>1.7896999999999998</v>
      </c>
      <c r="Z16" s="204">
        <f t="shared" si="26"/>
        <v>1.6778</v>
      </c>
      <c r="AA16" s="204">
        <f t="shared" si="27"/>
        <v>1.2278</v>
      </c>
      <c r="AB16" s="204">
        <f t="shared" si="28"/>
        <v>1.7261999999999997</v>
      </c>
      <c r="AC16" s="204">
        <f t="shared" si="29"/>
        <v>1.7388999999999999</v>
      </c>
      <c r="AD16" s="204">
        <f t="shared" si="30"/>
        <v>0.90239999999999998</v>
      </c>
      <c r="AE16" s="204">
        <f t="shared" si="31"/>
        <v>1.7007999999999999</v>
      </c>
      <c r="AF16" s="204">
        <f t="shared" si="32"/>
        <v>1.3523999999999998</v>
      </c>
      <c r="AG16" s="204">
        <f t="shared" si="33"/>
        <v>1.7031999999999998</v>
      </c>
      <c r="AH16" s="204">
        <f t="shared" si="34"/>
        <v>1.65</v>
      </c>
      <c r="AI16" s="204">
        <f t="shared" si="35"/>
        <v>1.627</v>
      </c>
      <c r="AJ16" s="204">
        <f t="shared" si="36"/>
        <v>1.0015999999999998</v>
      </c>
      <c r="AK16" s="204">
        <f t="shared" si="37"/>
        <v>1.6778</v>
      </c>
      <c r="AL16" s="204">
        <f t="shared" si="38"/>
        <v>0.92780000000000007</v>
      </c>
      <c r="AM16" s="204">
        <f t="shared" si="39"/>
        <v>1.7007999999999999</v>
      </c>
      <c r="AN16" s="204">
        <f t="shared" si="40"/>
        <v>1.6778</v>
      </c>
      <c r="AO16" s="204">
        <f t="shared" si="41"/>
        <v>1.7285999999999999</v>
      </c>
      <c r="AP16" s="204">
        <f t="shared" si="42"/>
        <v>1.3753999999999997</v>
      </c>
      <c r="AQ16" s="204">
        <f t="shared" si="43"/>
        <v>1.7285999999999999</v>
      </c>
      <c r="AR16" s="204">
        <f t="shared" si="44"/>
        <v>1.7007999999999999</v>
      </c>
      <c r="AS16" s="204">
        <f t="shared" si="45"/>
        <v>1.7007999999999999</v>
      </c>
    </row>
    <row r="17" spans="1:45" x14ac:dyDescent="0.2">
      <c r="B17" s="182"/>
      <c r="C17" s="204" t="s">
        <v>3532</v>
      </c>
      <c r="D17" s="224">
        <v>29.25</v>
      </c>
      <c r="E17" s="224"/>
      <c r="F17" s="205">
        <v>14</v>
      </c>
      <c r="G17" s="182">
        <v>51</v>
      </c>
      <c r="H17" s="224">
        <f>HLOOKUP(H2,$H$33:$AS$152,111,FALSE)</f>
        <v>1.7262</v>
      </c>
      <c r="I17" s="224">
        <f t="shared" ref="I17:AS17" si="46">HLOOKUP(I2,$H$33:$AS$152,111,FALSE)</f>
        <v>1.6524000000000001</v>
      </c>
      <c r="J17" s="224">
        <f t="shared" si="46"/>
        <v>1.7032</v>
      </c>
      <c r="K17" s="224">
        <f t="shared" si="46"/>
        <v>1.6778</v>
      </c>
      <c r="L17" s="224">
        <f t="shared" si="46"/>
        <v>1.7262</v>
      </c>
      <c r="M17" s="224">
        <f t="shared" si="46"/>
        <v>1.8634999999999997</v>
      </c>
      <c r="N17" s="224">
        <f t="shared" si="46"/>
        <v>1.7032</v>
      </c>
      <c r="O17" s="224">
        <f t="shared" si="46"/>
        <v>0.97619999999999996</v>
      </c>
      <c r="P17" s="224">
        <f t="shared" si="46"/>
        <v>1.9269999999999998</v>
      </c>
      <c r="Q17" s="224">
        <f t="shared" si="46"/>
        <v>1.5023999999999997</v>
      </c>
      <c r="R17" s="224">
        <f t="shared" si="46"/>
        <v>1.5023999999999997</v>
      </c>
      <c r="S17" s="224">
        <f t="shared" si="46"/>
        <v>1.754</v>
      </c>
      <c r="T17" s="224">
        <f t="shared" si="46"/>
        <v>0.73970000000000002</v>
      </c>
      <c r="U17" s="224">
        <f t="shared" si="46"/>
        <v>0.95320000000000005</v>
      </c>
      <c r="V17" s="224">
        <f t="shared" si="46"/>
        <v>1.327</v>
      </c>
      <c r="W17" s="224">
        <f t="shared" si="46"/>
        <v>1.6524000000000001</v>
      </c>
      <c r="X17" s="224">
        <f t="shared" si="46"/>
        <v>1.7388999999999999</v>
      </c>
      <c r="Y17" s="224">
        <f t="shared" si="46"/>
        <v>1.8150999999999999</v>
      </c>
      <c r="Z17" s="224">
        <f t="shared" si="46"/>
        <v>1.7032</v>
      </c>
      <c r="AA17" s="224">
        <f t="shared" si="46"/>
        <v>1.2532000000000001</v>
      </c>
      <c r="AB17" s="224">
        <f t="shared" si="46"/>
        <v>1.7515999999999998</v>
      </c>
      <c r="AC17" s="224">
        <f t="shared" si="46"/>
        <v>1.7643</v>
      </c>
      <c r="AD17" s="224">
        <f t="shared" si="46"/>
        <v>0.92779999999999996</v>
      </c>
      <c r="AE17" s="224">
        <f t="shared" si="46"/>
        <v>1.7262</v>
      </c>
      <c r="AF17" s="224">
        <f t="shared" si="46"/>
        <v>1.3777999999999999</v>
      </c>
      <c r="AG17" s="224">
        <f t="shared" si="46"/>
        <v>1.7285999999999999</v>
      </c>
      <c r="AH17" s="224">
        <f t="shared" si="46"/>
        <v>1.6754</v>
      </c>
      <c r="AI17" s="224">
        <f t="shared" si="46"/>
        <v>1.6524000000000001</v>
      </c>
      <c r="AJ17" s="224">
        <f t="shared" si="46"/>
        <v>1.0269999999999999</v>
      </c>
      <c r="AK17" s="224">
        <f t="shared" si="46"/>
        <v>1.7032</v>
      </c>
      <c r="AL17" s="224">
        <f t="shared" si="46"/>
        <v>0.95320000000000005</v>
      </c>
      <c r="AM17" s="224">
        <f t="shared" si="46"/>
        <v>1.7262</v>
      </c>
      <c r="AN17" s="224">
        <f t="shared" si="46"/>
        <v>1.7032</v>
      </c>
      <c r="AO17" s="224">
        <f t="shared" si="46"/>
        <v>1.754</v>
      </c>
      <c r="AP17" s="224">
        <f t="shared" si="46"/>
        <v>1.4007999999999998</v>
      </c>
      <c r="AQ17" s="224">
        <f t="shared" si="46"/>
        <v>1.754</v>
      </c>
      <c r="AR17" s="224">
        <f t="shared" si="46"/>
        <v>1.7262</v>
      </c>
      <c r="AS17" s="224">
        <f t="shared" si="46"/>
        <v>1.7262</v>
      </c>
    </row>
    <row r="18" spans="1:45" x14ac:dyDescent="0.2">
      <c r="C18" s="204" t="s">
        <v>3533</v>
      </c>
      <c r="D18" s="225">
        <f>D17/D16</f>
        <v>0.17205882352941176</v>
      </c>
      <c r="E18" s="204"/>
      <c r="F18" s="205">
        <v>15</v>
      </c>
      <c r="G18" s="174">
        <v>66</v>
      </c>
      <c r="H18" s="204">
        <f t="shared" ref="H18:H23" si="47">H17+0.0254</f>
        <v>1.7516</v>
      </c>
      <c r="I18" s="204">
        <f t="shared" ref="I18:AS23" si="48">I17+0.0254</f>
        <v>1.6778000000000002</v>
      </c>
      <c r="J18" s="204">
        <f t="shared" si="48"/>
        <v>1.7286000000000001</v>
      </c>
      <c r="K18" s="204">
        <f t="shared" si="48"/>
        <v>1.7032</v>
      </c>
      <c r="L18" s="204">
        <f t="shared" si="48"/>
        <v>1.7516</v>
      </c>
      <c r="M18" s="204">
        <f t="shared" si="48"/>
        <v>1.8888999999999998</v>
      </c>
      <c r="N18" s="204">
        <f t="shared" si="48"/>
        <v>1.7286000000000001</v>
      </c>
      <c r="O18" s="204">
        <f t="shared" si="48"/>
        <v>1.0016</v>
      </c>
      <c r="P18" s="204">
        <f t="shared" si="48"/>
        <v>1.9523999999999999</v>
      </c>
      <c r="Q18" s="204">
        <f t="shared" si="48"/>
        <v>1.5277999999999998</v>
      </c>
      <c r="R18" s="204">
        <f t="shared" si="48"/>
        <v>1.5277999999999998</v>
      </c>
      <c r="S18" s="204">
        <f t="shared" si="48"/>
        <v>1.7794000000000001</v>
      </c>
      <c r="T18" s="204">
        <f t="shared" si="48"/>
        <v>0.7651</v>
      </c>
      <c r="U18" s="204">
        <f t="shared" si="48"/>
        <v>0.97860000000000003</v>
      </c>
      <c r="V18" s="204">
        <f t="shared" si="48"/>
        <v>1.3524</v>
      </c>
      <c r="W18" s="204">
        <f t="shared" si="48"/>
        <v>1.6778000000000002</v>
      </c>
      <c r="X18" s="204">
        <f t="shared" si="48"/>
        <v>1.7643</v>
      </c>
      <c r="Y18" s="204">
        <f t="shared" si="48"/>
        <v>1.8405</v>
      </c>
      <c r="Z18" s="204">
        <f t="shared" si="48"/>
        <v>1.7286000000000001</v>
      </c>
      <c r="AA18" s="204">
        <f t="shared" si="48"/>
        <v>1.2786000000000002</v>
      </c>
      <c r="AB18" s="204">
        <f t="shared" si="48"/>
        <v>1.7769999999999999</v>
      </c>
      <c r="AC18" s="204">
        <f t="shared" si="48"/>
        <v>1.7897000000000001</v>
      </c>
      <c r="AD18" s="204">
        <f t="shared" si="48"/>
        <v>0.95319999999999994</v>
      </c>
      <c r="AE18" s="204">
        <f t="shared" si="48"/>
        <v>1.7516</v>
      </c>
      <c r="AF18" s="204">
        <f t="shared" si="48"/>
        <v>1.4032</v>
      </c>
      <c r="AG18" s="204">
        <f t="shared" si="48"/>
        <v>1.754</v>
      </c>
      <c r="AH18" s="204">
        <f t="shared" si="48"/>
        <v>1.7008000000000001</v>
      </c>
      <c r="AI18" s="204">
        <f t="shared" si="48"/>
        <v>1.6778000000000002</v>
      </c>
      <c r="AJ18" s="204">
        <f t="shared" si="48"/>
        <v>1.0524</v>
      </c>
      <c r="AK18" s="204">
        <f t="shared" si="48"/>
        <v>1.7286000000000001</v>
      </c>
      <c r="AL18" s="204">
        <f t="shared" si="48"/>
        <v>0.97860000000000003</v>
      </c>
      <c r="AM18" s="204">
        <f t="shared" si="48"/>
        <v>1.7516</v>
      </c>
      <c r="AN18" s="204">
        <f t="shared" si="48"/>
        <v>1.7286000000000001</v>
      </c>
      <c r="AO18" s="204">
        <f t="shared" si="48"/>
        <v>1.7794000000000001</v>
      </c>
      <c r="AP18" s="204">
        <f t="shared" si="48"/>
        <v>1.4261999999999999</v>
      </c>
      <c r="AQ18" s="204">
        <f t="shared" si="48"/>
        <v>1.7794000000000001</v>
      </c>
      <c r="AR18" s="204">
        <f t="shared" si="48"/>
        <v>1.7516</v>
      </c>
      <c r="AS18" s="204">
        <f t="shared" si="48"/>
        <v>1.7516</v>
      </c>
    </row>
    <row r="19" spans="1:45" x14ac:dyDescent="0.2">
      <c r="C19" s="204"/>
      <c r="D19" s="204"/>
      <c r="E19" s="204"/>
      <c r="F19" s="205">
        <v>16</v>
      </c>
      <c r="G19" s="174">
        <v>78</v>
      </c>
      <c r="H19" s="204">
        <f t="shared" si="47"/>
        <v>1.7770000000000001</v>
      </c>
      <c r="I19" s="204">
        <f t="shared" si="48"/>
        <v>1.7032000000000003</v>
      </c>
      <c r="J19" s="204">
        <f t="shared" si="48"/>
        <v>1.7540000000000002</v>
      </c>
      <c r="K19" s="204">
        <f t="shared" si="48"/>
        <v>1.7286000000000001</v>
      </c>
      <c r="L19" s="204">
        <f t="shared" si="48"/>
        <v>1.7770000000000001</v>
      </c>
      <c r="M19" s="204">
        <f t="shared" si="48"/>
        <v>1.9142999999999999</v>
      </c>
      <c r="N19" s="204">
        <f t="shared" si="48"/>
        <v>1.7540000000000002</v>
      </c>
      <c r="O19" s="204">
        <f t="shared" si="48"/>
        <v>1.0270000000000001</v>
      </c>
      <c r="P19" s="204">
        <f t="shared" si="48"/>
        <v>1.9778</v>
      </c>
      <c r="Q19" s="204">
        <f t="shared" si="48"/>
        <v>1.5531999999999999</v>
      </c>
      <c r="R19" s="204">
        <f t="shared" si="48"/>
        <v>1.5531999999999999</v>
      </c>
      <c r="S19" s="204">
        <f t="shared" si="48"/>
        <v>1.8048000000000002</v>
      </c>
      <c r="T19" s="204">
        <f t="shared" si="48"/>
        <v>0.79049999999999998</v>
      </c>
      <c r="U19" s="204">
        <f t="shared" si="48"/>
        <v>1.004</v>
      </c>
      <c r="V19" s="204">
        <f t="shared" si="48"/>
        <v>1.3778000000000001</v>
      </c>
      <c r="W19" s="204">
        <f t="shared" si="48"/>
        <v>1.7032000000000003</v>
      </c>
      <c r="X19" s="204">
        <f t="shared" si="48"/>
        <v>1.7897000000000001</v>
      </c>
      <c r="Y19" s="204">
        <f t="shared" si="48"/>
        <v>1.8659000000000001</v>
      </c>
      <c r="Z19" s="204">
        <f t="shared" si="48"/>
        <v>1.7540000000000002</v>
      </c>
      <c r="AA19" s="204">
        <f t="shared" si="48"/>
        <v>1.3040000000000003</v>
      </c>
      <c r="AB19" s="204">
        <f t="shared" si="48"/>
        <v>1.8024</v>
      </c>
      <c r="AC19" s="204">
        <f t="shared" si="48"/>
        <v>1.8151000000000002</v>
      </c>
      <c r="AD19" s="204">
        <f t="shared" si="48"/>
        <v>0.97859999999999991</v>
      </c>
      <c r="AE19" s="204">
        <f t="shared" si="48"/>
        <v>1.7770000000000001</v>
      </c>
      <c r="AF19" s="204">
        <f t="shared" si="48"/>
        <v>1.4286000000000001</v>
      </c>
      <c r="AG19" s="204">
        <f t="shared" si="48"/>
        <v>1.7794000000000001</v>
      </c>
      <c r="AH19" s="204">
        <f t="shared" si="48"/>
        <v>1.7262000000000002</v>
      </c>
      <c r="AI19" s="204">
        <f t="shared" si="48"/>
        <v>1.7032000000000003</v>
      </c>
      <c r="AJ19" s="204">
        <f t="shared" si="48"/>
        <v>1.0778000000000001</v>
      </c>
      <c r="AK19" s="204">
        <f t="shared" si="48"/>
        <v>1.7540000000000002</v>
      </c>
      <c r="AL19" s="204">
        <f t="shared" si="48"/>
        <v>1.004</v>
      </c>
      <c r="AM19" s="204">
        <f t="shared" si="48"/>
        <v>1.7770000000000001</v>
      </c>
      <c r="AN19" s="204">
        <f t="shared" si="48"/>
        <v>1.7540000000000002</v>
      </c>
      <c r="AO19" s="204">
        <f t="shared" si="48"/>
        <v>1.8048000000000002</v>
      </c>
      <c r="AP19" s="204">
        <f t="shared" si="48"/>
        <v>1.4516</v>
      </c>
      <c r="AQ19" s="204">
        <f t="shared" si="48"/>
        <v>1.8048000000000002</v>
      </c>
      <c r="AR19" s="204">
        <f t="shared" si="48"/>
        <v>1.7770000000000001</v>
      </c>
      <c r="AS19" s="204">
        <f t="shared" si="48"/>
        <v>1.7770000000000001</v>
      </c>
    </row>
    <row r="20" spans="1:45" x14ac:dyDescent="0.2">
      <c r="C20" s="204">
        <v>120</v>
      </c>
      <c r="D20" s="204">
        <f>D18*C20</f>
        <v>20.647058823529413</v>
      </c>
      <c r="E20" s="204"/>
      <c r="F20" s="205">
        <v>17</v>
      </c>
      <c r="G20" s="174">
        <v>87</v>
      </c>
      <c r="H20" s="204">
        <f t="shared" si="47"/>
        <v>1.8024000000000002</v>
      </c>
      <c r="I20" s="204">
        <f t="shared" si="48"/>
        <v>1.7286000000000004</v>
      </c>
      <c r="J20" s="204">
        <f t="shared" si="48"/>
        <v>1.7794000000000003</v>
      </c>
      <c r="K20" s="204">
        <f t="shared" si="48"/>
        <v>1.7540000000000002</v>
      </c>
      <c r="L20" s="204">
        <f t="shared" si="48"/>
        <v>1.8024000000000002</v>
      </c>
      <c r="M20" s="204">
        <f t="shared" si="48"/>
        <v>1.9397</v>
      </c>
      <c r="N20" s="204">
        <f t="shared" si="48"/>
        <v>1.7794000000000003</v>
      </c>
      <c r="O20" s="204">
        <f t="shared" si="48"/>
        <v>1.0524000000000002</v>
      </c>
      <c r="P20" s="204">
        <f t="shared" si="48"/>
        <v>2.0032000000000001</v>
      </c>
      <c r="Q20" s="204">
        <f t="shared" si="48"/>
        <v>1.5786</v>
      </c>
      <c r="R20" s="204">
        <f t="shared" si="48"/>
        <v>1.5786</v>
      </c>
      <c r="S20" s="204">
        <f t="shared" si="48"/>
        <v>1.8302000000000003</v>
      </c>
      <c r="T20" s="204">
        <f t="shared" si="48"/>
        <v>0.81589999999999996</v>
      </c>
      <c r="U20" s="204">
        <f t="shared" si="48"/>
        <v>1.0294000000000001</v>
      </c>
      <c r="V20" s="204">
        <f t="shared" si="48"/>
        <v>1.4032000000000002</v>
      </c>
      <c r="W20" s="204">
        <f t="shared" si="48"/>
        <v>1.7286000000000004</v>
      </c>
      <c r="X20" s="204">
        <f t="shared" si="48"/>
        <v>1.8151000000000002</v>
      </c>
      <c r="Y20" s="204">
        <f t="shared" si="48"/>
        <v>1.8913000000000002</v>
      </c>
      <c r="Z20" s="204">
        <f t="shared" si="48"/>
        <v>1.7794000000000003</v>
      </c>
      <c r="AA20" s="204">
        <f t="shared" si="48"/>
        <v>1.3294000000000004</v>
      </c>
      <c r="AB20" s="204">
        <f t="shared" si="48"/>
        <v>1.8278000000000001</v>
      </c>
      <c r="AC20" s="204">
        <f t="shared" si="48"/>
        <v>1.8405000000000002</v>
      </c>
      <c r="AD20" s="204">
        <f t="shared" si="48"/>
        <v>1.004</v>
      </c>
      <c r="AE20" s="204">
        <f t="shared" si="48"/>
        <v>1.8024000000000002</v>
      </c>
      <c r="AF20" s="204">
        <f t="shared" si="48"/>
        <v>1.4540000000000002</v>
      </c>
      <c r="AG20" s="204">
        <f t="shared" si="48"/>
        <v>1.8048000000000002</v>
      </c>
      <c r="AH20" s="204">
        <f t="shared" si="48"/>
        <v>1.7516000000000003</v>
      </c>
      <c r="AI20" s="204">
        <f t="shared" si="48"/>
        <v>1.7286000000000004</v>
      </c>
      <c r="AJ20" s="204">
        <f t="shared" si="48"/>
        <v>1.1032000000000002</v>
      </c>
      <c r="AK20" s="204">
        <f t="shared" si="48"/>
        <v>1.7794000000000003</v>
      </c>
      <c r="AL20" s="204">
        <f t="shared" si="48"/>
        <v>1.0294000000000001</v>
      </c>
      <c r="AM20" s="204">
        <f t="shared" si="48"/>
        <v>1.8024000000000002</v>
      </c>
      <c r="AN20" s="204">
        <f t="shared" si="48"/>
        <v>1.7794000000000003</v>
      </c>
      <c r="AO20" s="204">
        <f t="shared" si="48"/>
        <v>1.8302000000000003</v>
      </c>
      <c r="AP20" s="204">
        <f t="shared" si="48"/>
        <v>1.4770000000000001</v>
      </c>
      <c r="AQ20" s="204">
        <f t="shared" si="48"/>
        <v>1.8302000000000003</v>
      </c>
      <c r="AR20" s="204">
        <f t="shared" si="48"/>
        <v>1.8024000000000002</v>
      </c>
      <c r="AS20" s="204">
        <f t="shared" si="48"/>
        <v>1.8024000000000002</v>
      </c>
    </row>
    <row r="21" spans="1:45" x14ac:dyDescent="0.2">
      <c r="C21" s="204"/>
      <c r="D21" s="204"/>
      <c r="E21" s="204"/>
      <c r="F21" s="205">
        <v>18</v>
      </c>
      <c r="G21" s="174">
        <v>93</v>
      </c>
      <c r="H21" s="204">
        <f t="shared" si="47"/>
        <v>1.8278000000000003</v>
      </c>
      <c r="I21" s="204">
        <f t="shared" si="48"/>
        <v>1.7540000000000004</v>
      </c>
      <c r="J21" s="204">
        <f t="shared" si="48"/>
        <v>1.8048000000000004</v>
      </c>
      <c r="K21" s="204">
        <f t="shared" si="48"/>
        <v>1.7794000000000003</v>
      </c>
      <c r="L21" s="204">
        <f t="shared" si="48"/>
        <v>1.8278000000000003</v>
      </c>
      <c r="M21" s="204">
        <f t="shared" si="48"/>
        <v>1.9651000000000001</v>
      </c>
      <c r="N21" s="204">
        <f t="shared" si="48"/>
        <v>1.8048000000000004</v>
      </c>
      <c r="O21" s="204">
        <f t="shared" si="48"/>
        <v>1.0778000000000003</v>
      </c>
      <c r="P21" s="204">
        <f t="shared" si="48"/>
        <v>2.0286</v>
      </c>
      <c r="Q21" s="204">
        <f t="shared" si="48"/>
        <v>1.6040000000000001</v>
      </c>
      <c r="R21" s="204">
        <f t="shared" si="48"/>
        <v>1.6040000000000001</v>
      </c>
      <c r="S21" s="204">
        <f t="shared" si="48"/>
        <v>1.8556000000000004</v>
      </c>
      <c r="T21" s="204">
        <f t="shared" si="48"/>
        <v>0.84129999999999994</v>
      </c>
      <c r="U21" s="204">
        <f t="shared" si="48"/>
        <v>1.0548000000000002</v>
      </c>
      <c r="V21" s="204">
        <f t="shared" si="48"/>
        <v>1.4286000000000003</v>
      </c>
      <c r="W21" s="204">
        <f t="shared" si="48"/>
        <v>1.7540000000000004</v>
      </c>
      <c r="X21" s="204">
        <f t="shared" si="48"/>
        <v>1.8405000000000002</v>
      </c>
      <c r="Y21" s="204">
        <f t="shared" si="48"/>
        <v>1.9167000000000003</v>
      </c>
      <c r="Z21" s="204">
        <f t="shared" si="48"/>
        <v>1.8048000000000004</v>
      </c>
      <c r="AA21" s="204">
        <f t="shared" si="48"/>
        <v>1.3548000000000004</v>
      </c>
      <c r="AB21" s="204">
        <f t="shared" si="48"/>
        <v>1.8532000000000002</v>
      </c>
      <c r="AC21" s="204">
        <f t="shared" si="48"/>
        <v>1.8659000000000003</v>
      </c>
      <c r="AD21" s="204">
        <f t="shared" si="48"/>
        <v>1.0294000000000001</v>
      </c>
      <c r="AE21" s="204">
        <f t="shared" si="48"/>
        <v>1.8278000000000003</v>
      </c>
      <c r="AF21" s="204">
        <f t="shared" si="48"/>
        <v>1.4794000000000003</v>
      </c>
      <c r="AG21" s="204">
        <f t="shared" si="48"/>
        <v>1.8302000000000003</v>
      </c>
      <c r="AH21" s="204">
        <f t="shared" si="48"/>
        <v>1.7770000000000004</v>
      </c>
      <c r="AI21" s="204">
        <f t="shared" si="48"/>
        <v>1.7540000000000004</v>
      </c>
      <c r="AJ21" s="204">
        <f t="shared" si="48"/>
        <v>1.1286000000000003</v>
      </c>
      <c r="AK21" s="204">
        <f t="shared" si="48"/>
        <v>1.8048000000000004</v>
      </c>
      <c r="AL21" s="204">
        <f t="shared" si="48"/>
        <v>1.0548000000000002</v>
      </c>
      <c r="AM21" s="204">
        <f t="shared" si="48"/>
        <v>1.8278000000000003</v>
      </c>
      <c r="AN21" s="204">
        <f t="shared" si="48"/>
        <v>1.8048000000000004</v>
      </c>
      <c r="AO21" s="204">
        <f t="shared" si="48"/>
        <v>1.8556000000000004</v>
      </c>
      <c r="AP21" s="204">
        <f t="shared" si="48"/>
        <v>1.5024000000000002</v>
      </c>
      <c r="AQ21" s="204">
        <f t="shared" si="48"/>
        <v>1.8556000000000004</v>
      </c>
      <c r="AR21" s="204">
        <f t="shared" si="48"/>
        <v>1.8278000000000003</v>
      </c>
      <c r="AS21" s="204">
        <f t="shared" si="48"/>
        <v>1.8278000000000003</v>
      </c>
    </row>
    <row r="22" spans="1:45" x14ac:dyDescent="0.2">
      <c r="C22" s="204"/>
      <c r="D22" s="204"/>
      <c r="E22" s="204"/>
      <c r="F22" s="205">
        <v>19</v>
      </c>
      <c r="G22" s="174">
        <v>96</v>
      </c>
      <c r="H22" s="204">
        <f t="shared" si="47"/>
        <v>1.8532000000000004</v>
      </c>
      <c r="I22" s="204">
        <f t="shared" si="48"/>
        <v>1.7794000000000005</v>
      </c>
      <c r="J22" s="204">
        <f t="shared" si="48"/>
        <v>1.8302000000000005</v>
      </c>
      <c r="K22" s="204">
        <f t="shared" si="48"/>
        <v>1.8048000000000004</v>
      </c>
      <c r="L22" s="204">
        <f t="shared" si="48"/>
        <v>1.8532000000000004</v>
      </c>
      <c r="M22" s="204">
        <f t="shared" si="48"/>
        <v>1.9905000000000002</v>
      </c>
      <c r="N22" s="204">
        <f t="shared" si="48"/>
        <v>1.8302000000000005</v>
      </c>
      <c r="O22" s="204">
        <f t="shared" si="48"/>
        <v>1.1032000000000004</v>
      </c>
      <c r="P22" s="204">
        <f t="shared" si="48"/>
        <v>2.0539999999999998</v>
      </c>
      <c r="Q22" s="204">
        <f t="shared" si="48"/>
        <v>1.6294000000000002</v>
      </c>
      <c r="R22" s="204">
        <f t="shared" si="48"/>
        <v>1.6294000000000002</v>
      </c>
      <c r="S22" s="204">
        <f t="shared" si="48"/>
        <v>1.8810000000000004</v>
      </c>
      <c r="T22" s="204">
        <f t="shared" si="48"/>
        <v>0.86669999999999991</v>
      </c>
      <c r="U22" s="204">
        <f t="shared" si="48"/>
        <v>1.0802000000000003</v>
      </c>
      <c r="V22" s="204">
        <f t="shared" si="48"/>
        <v>1.4540000000000004</v>
      </c>
      <c r="W22" s="204">
        <f t="shared" si="48"/>
        <v>1.7794000000000005</v>
      </c>
      <c r="X22" s="204">
        <f t="shared" si="48"/>
        <v>1.8659000000000003</v>
      </c>
      <c r="Y22" s="204">
        <f t="shared" si="48"/>
        <v>1.9421000000000004</v>
      </c>
      <c r="Z22" s="204">
        <f t="shared" si="48"/>
        <v>1.8302000000000005</v>
      </c>
      <c r="AA22" s="204">
        <f t="shared" si="48"/>
        <v>1.3802000000000005</v>
      </c>
      <c r="AB22" s="204">
        <f t="shared" si="48"/>
        <v>1.8786000000000003</v>
      </c>
      <c r="AC22" s="204">
        <f t="shared" si="48"/>
        <v>1.8913000000000004</v>
      </c>
      <c r="AD22" s="204">
        <f t="shared" si="48"/>
        <v>1.0548000000000002</v>
      </c>
      <c r="AE22" s="204">
        <f t="shared" si="48"/>
        <v>1.8532000000000004</v>
      </c>
      <c r="AF22" s="204">
        <f t="shared" si="48"/>
        <v>1.5048000000000004</v>
      </c>
      <c r="AG22" s="204">
        <f t="shared" si="48"/>
        <v>1.8556000000000004</v>
      </c>
      <c r="AH22" s="204">
        <f t="shared" si="48"/>
        <v>1.8024000000000004</v>
      </c>
      <c r="AI22" s="204">
        <f t="shared" si="48"/>
        <v>1.7794000000000005</v>
      </c>
      <c r="AJ22" s="204">
        <f t="shared" si="48"/>
        <v>1.1540000000000004</v>
      </c>
      <c r="AK22" s="204">
        <f t="shared" si="48"/>
        <v>1.8302000000000005</v>
      </c>
      <c r="AL22" s="204">
        <f t="shared" si="48"/>
        <v>1.0802000000000003</v>
      </c>
      <c r="AM22" s="204">
        <f t="shared" si="48"/>
        <v>1.8532000000000004</v>
      </c>
      <c r="AN22" s="204">
        <f t="shared" si="48"/>
        <v>1.8302000000000005</v>
      </c>
      <c r="AO22" s="204">
        <f t="shared" si="48"/>
        <v>1.8810000000000004</v>
      </c>
      <c r="AP22" s="204">
        <f t="shared" si="48"/>
        <v>1.5278000000000003</v>
      </c>
      <c r="AQ22" s="204">
        <f t="shared" si="48"/>
        <v>1.8810000000000004</v>
      </c>
      <c r="AR22" s="204">
        <f t="shared" si="48"/>
        <v>1.8532000000000004</v>
      </c>
      <c r="AS22" s="204">
        <f t="shared" si="48"/>
        <v>1.8532000000000004</v>
      </c>
    </row>
    <row r="23" spans="1:45" x14ac:dyDescent="0.2">
      <c r="C23" s="204"/>
      <c r="D23" s="204"/>
      <c r="E23" s="204"/>
      <c r="F23" s="205">
        <v>20</v>
      </c>
      <c r="G23" s="174">
        <v>141</v>
      </c>
      <c r="H23" s="204">
        <f t="shared" si="47"/>
        <v>1.8786000000000005</v>
      </c>
      <c r="I23" s="204">
        <f t="shared" si="48"/>
        <v>1.8048000000000006</v>
      </c>
      <c r="J23" s="204">
        <f t="shared" si="48"/>
        <v>1.8556000000000006</v>
      </c>
      <c r="K23" s="204">
        <f t="shared" si="48"/>
        <v>1.8302000000000005</v>
      </c>
      <c r="L23" s="204">
        <f t="shared" si="48"/>
        <v>1.8786000000000005</v>
      </c>
      <c r="M23" s="204">
        <f t="shared" si="48"/>
        <v>2.0159000000000002</v>
      </c>
      <c r="N23" s="204">
        <f t="shared" si="48"/>
        <v>1.8556000000000006</v>
      </c>
      <c r="O23" s="204">
        <f t="shared" si="48"/>
        <v>1.1286000000000005</v>
      </c>
      <c r="P23" s="204">
        <f t="shared" si="48"/>
        <v>2.0793999999999997</v>
      </c>
      <c r="Q23" s="204">
        <f t="shared" si="48"/>
        <v>1.6548000000000003</v>
      </c>
      <c r="R23" s="204">
        <f t="shared" si="48"/>
        <v>1.6548000000000003</v>
      </c>
      <c r="S23" s="204">
        <f t="shared" si="48"/>
        <v>1.9064000000000005</v>
      </c>
      <c r="T23" s="204">
        <f t="shared" si="48"/>
        <v>0.89209999999999989</v>
      </c>
      <c r="U23" s="204">
        <f t="shared" si="48"/>
        <v>1.1056000000000004</v>
      </c>
      <c r="V23" s="204">
        <f t="shared" si="48"/>
        <v>1.4794000000000005</v>
      </c>
      <c r="W23" s="204">
        <f t="shared" si="48"/>
        <v>1.8048000000000006</v>
      </c>
      <c r="X23" s="204">
        <f t="shared" si="48"/>
        <v>1.8913000000000004</v>
      </c>
      <c r="Y23" s="204">
        <f t="shared" si="48"/>
        <v>1.9675000000000005</v>
      </c>
      <c r="Z23" s="204">
        <f t="shared" si="48"/>
        <v>1.8556000000000006</v>
      </c>
      <c r="AA23" s="204">
        <f t="shared" si="48"/>
        <v>1.4056000000000006</v>
      </c>
      <c r="AB23" s="204">
        <f t="shared" si="48"/>
        <v>1.9040000000000004</v>
      </c>
      <c r="AC23" s="204">
        <f t="shared" si="48"/>
        <v>1.9167000000000005</v>
      </c>
      <c r="AD23" s="204">
        <f t="shared" si="48"/>
        <v>1.0802000000000003</v>
      </c>
      <c r="AE23" s="204">
        <f t="shared" si="48"/>
        <v>1.8786000000000005</v>
      </c>
      <c r="AF23" s="204">
        <f t="shared" si="48"/>
        <v>1.5302000000000004</v>
      </c>
      <c r="AG23" s="204">
        <f t="shared" si="48"/>
        <v>1.8810000000000004</v>
      </c>
      <c r="AH23" s="204">
        <f t="shared" si="48"/>
        <v>1.8278000000000005</v>
      </c>
      <c r="AI23" s="204">
        <f t="shared" si="48"/>
        <v>1.8048000000000006</v>
      </c>
      <c r="AJ23" s="204">
        <f t="shared" si="48"/>
        <v>1.1794000000000004</v>
      </c>
      <c r="AK23" s="204">
        <f t="shared" si="48"/>
        <v>1.8556000000000006</v>
      </c>
      <c r="AL23" s="204">
        <f t="shared" si="48"/>
        <v>1.1056000000000004</v>
      </c>
      <c r="AM23" s="204">
        <f t="shared" si="48"/>
        <v>1.8786000000000005</v>
      </c>
      <c r="AN23" s="204">
        <f t="shared" si="48"/>
        <v>1.8556000000000006</v>
      </c>
      <c r="AO23" s="204">
        <f t="shared" si="48"/>
        <v>1.9064000000000005</v>
      </c>
      <c r="AP23" s="204">
        <f t="shared" si="48"/>
        <v>1.5532000000000004</v>
      </c>
      <c r="AQ23" s="204">
        <f t="shared" si="48"/>
        <v>1.9064000000000005</v>
      </c>
      <c r="AR23" s="204">
        <f t="shared" si="48"/>
        <v>1.8786000000000005</v>
      </c>
      <c r="AS23" s="204">
        <f t="shared" si="48"/>
        <v>1.8786000000000005</v>
      </c>
    </row>
    <row r="24" spans="1:45" x14ac:dyDescent="0.2">
      <c r="C24" s="204"/>
      <c r="D24" s="204"/>
      <c r="E24" s="204"/>
      <c r="F24" s="205">
        <v>21</v>
      </c>
      <c r="G24" s="174">
        <v>166</v>
      </c>
      <c r="H24" s="204">
        <f>H23+(0.0254*1.1)</f>
        <v>1.9065400000000006</v>
      </c>
      <c r="I24" s="204">
        <f t="shared" ref="I24:AS24" si="49">I23+(0.0254*1.1)</f>
        <v>1.8327400000000007</v>
      </c>
      <c r="J24" s="204">
        <f t="shared" si="49"/>
        <v>1.8835400000000007</v>
      </c>
      <c r="K24" s="204">
        <f t="shared" si="49"/>
        <v>1.8581400000000006</v>
      </c>
      <c r="L24" s="204">
        <f t="shared" si="49"/>
        <v>1.9065400000000006</v>
      </c>
      <c r="M24" s="204">
        <f t="shared" si="49"/>
        <v>2.0438400000000003</v>
      </c>
      <c r="N24" s="204">
        <f t="shared" si="49"/>
        <v>1.8835400000000007</v>
      </c>
      <c r="O24" s="204">
        <f t="shared" si="49"/>
        <v>1.1565400000000006</v>
      </c>
      <c r="P24" s="204">
        <f t="shared" si="49"/>
        <v>2.1073399999999998</v>
      </c>
      <c r="Q24" s="204">
        <f t="shared" si="49"/>
        <v>1.6827400000000003</v>
      </c>
      <c r="R24" s="204">
        <f t="shared" si="49"/>
        <v>1.6827400000000003</v>
      </c>
      <c r="S24" s="204">
        <f t="shared" si="49"/>
        <v>1.9343400000000006</v>
      </c>
      <c r="T24" s="204">
        <f t="shared" si="49"/>
        <v>0.92003999999999986</v>
      </c>
      <c r="U24" s="204">
        <f t="shared" si="49"/>
        <v>1.1335400000000004</v>
      </c>
      <c r="V24" s="204">
        <f t="shared" si="49"/>
        <v>1.5073400000000006</v>
      </c>
      <c r="W24" s="204">
        <f t="shared" si="49"/>
        <v>1.8327400000000007</v>
      </c>
      <c r="X24" s="204">
        <f t="shared" si="49"/>
        <v>1.9192400000000005</v>
      </c>
      <c r="Y24" s="204">
        <f t="shared" si="49"/>
        <v>1.9954400000000005</v>
      </c>
      <c r="Z24" s="204">
        <f t="shared" si="49"/>
        <v>1.8835400000000007</v>
      </c>
      <c r="AA24" s="204">
        <f t="shared" si="49"/>
        <v>1.4335400000000007</v>
      </c>
      <c r="AB24" s="204">
        <f t="shared" si="49"/>
        <v>1.9319400000000004</v>
      </c>
      <c r="AC24" s="204">
        <f t="shared" si="49"/>
        <v>1.9446400000000006</v>
      </c>
      <c r="AD24" s="204">
        <f t="shared" si="49"/>
        <v>1.1081400000000003</v>
      </c>
      <c r="AE24" s="204">
        <f t="shared" si="49"/>
        <v>1.9065400000000006</v>
      </c>
      <c r="AF24" s="204">
        <f t="shared" si="49"/>
        <v>1.5581400000000005</v>
      </c>
      <c r="AG24" s="204">
        <f t="shared" si="49"/>
        <v>1.9089400000000005</v>
      </c>
      <c r="AH24" s="204">
        <f t="shared" si="49"/>
        <v>1.8557400000000006</v>
      </c>
      <c r="AI24" s="204">
        <f t="shared" si="49"/>
        <v>1.8327400000000007</v>
      </c>
      <c r="AJ24" s="204">
        <f t="shared" si="49"/>
        <v>1.2073400000000005</v>
      </c>
      <c r="AK24" s="204">
        <f t="shared" si="49"/>
        <v>1.8835400000000007</v>
      </c>
      <c r="AL24" s="204">
        <f t="shared" si="49"/>
        <v>1.1335400000000004</v>
      </c>
      <c r="AM24" s="204">
        <f t="shared" si="49"/>
        <v>1.9065400000000006</v>
      </c>
      <c r="AN24" s="204">
        <f t="shared" si="49"/>
        <v>1.8835400000000007</v>
      </c>
      <c r="AO24" s="204">
        <f t="shared" si="49"/>
        <v>1.9343400000000006</v>
      </c>
      <c r="AP24" s="204">
        <f t="shared" si="49"/>
        <v>1.5811400000000004</v>
      </c>
      <c r="AQ24" s="204">
        <f t="shared" si="49"/>
        <v>1.9343400000000006</v>
      </c>
      <c r="AR24" s="204">
        <f t="shared" si="49"/>
        <v>1.9065400000000006</v>
      </c>
      <c r="AS24" s="204">
        <f t="shared" si="49"/>
        <v>1.9065400000000006</v>
      </c>
    </row>
    <row r="25" spans="1:45" x14ac:dyDescent="0.2">
      <c r="C25" s="204"/>
      <c r="D25" s="204"/>
      <c r="E25" s="204"/>
      <c r="F25" s="205">
        <v>22</v>
      </c>
      <c r="G25" s="174">
        <v>181</v>
      </c>
      <c r="H25" s="204">
        <f>H24+(0.0254*1.2)</f>
        <v>1.9370200000000006</v>
      </c>
      <c r="I25" s="204">
        <f t="shared" ref="I25:AS25" si="50">I24+(0.0254*1.2)</f>
        <v>1.8632200000000008</v>
      </c>
      <c r="J25" s="204">
        <f t="shared" si="50"/>
        <v>1.9140200000000007</v>
      </c>
      <c r="K25" s="204">
        <f t="shared" si="50"/>
        <v>1.8886200000000006</v>
      </c>
      <c r="L25" s="204">
        <f t="shared" si="50"/>
        <v>1.9370200000000006</v>
      </c>
      <c r="M25" s="204">
        <f t="shared" si="50"/>
        <v>2.0743200000000002</v>
      </c>
      <c r="N25" s="204">
        <f t="shared" si="50"/>
        <v>1.9140200000000007</v>
      </c>
      <c r="O25" s="204">
        <f t="shared" si="50"/>
        <v>1.1870200000000006</v>
      </c>
      <c r="P25" s="204">
        <f t="shared" si="50"/>
        <v>2.1378199999999996</v>
      </c>
      <c r="Q25" s="204">
        <f t="shared" si="50"/>
        <v>1.7132200000000004</v>
      </c>
      <c r="R25" s="204">
        <f t="shared" si="50"/>
        <v>1.7132200000000004</v>
      </c>
      <c r="S25" s="204">
        <f t="shared" si="50"/>
        <v>1.9648200000000007</v>
      </c>
      <c r="T25" s="204">
        <f t="shared" si="50"/>
        <v>0.95051999999999981</v>
      </c>
      <c r="U25" s="204">
        <f t="shared" si="50"/>
        <v>1.1640200000000005</v>
      </c>
      <c r="V25" s="204">
        <f t="shared" si="50"/>
        <v>1.5378200000000006</v>
      </c>
      <c r="W25" s="204">
        <f t="shared" si="50"/>
        <v>1.8632200000000008</v>
      </c>
      <c r="X25" s="204">
        <f t="shared" si="50"/>
        <v>1.9497200000000006</v>
      </c>
      <c r="Y25" s="204">
        <f t="shared" si="50"/>
        <v>2.0259200000000006</v>
      </c>
      <c r="Z25" s="204">
        <f t="shared" si="50"/>
        <v>1.9140200000000007</v>
      </c>
      <c r="AA25" s="204">
        <f t="shared" si="50"/>
        <v>1.4640200000000008</v>
      </c>
      <c r="AB25" s="204">
        <f t="shared" si="50"/>
        <v>1.9624200000000005</v>
      </c>
      <c r="AC25" s="204">
        <f t="shared" si="50"/>
        <v>1.9751200000000007</v>
      </c>
      <c r="AD25" s="204">
        <f t="shared" si="50"/>
        <v>1.1386200000000004</v>
      </c>
      <c r="AE25" s="204">
        <f t="shared" si="50"/>
        <v>1.9370200000000006</v>
      </c>
      <c r="AF25" s="204">
        <f t="shared" si="50"/>
        <v>1.5886200000000006</v>
      </c>
      <c r="AG25" s="204">
        <f t="shared" si="50"/>
        <v>1.9394200000000006</v>
      </c>
      <c r="AH25" s="204">
        <f t="shared" si="50"/>
        <v>1.8862200000000007</v>
      </c>
      <c r="AI25" s="204">
        <f t="shared" si="50"/>
        <v>1.8632200000000008</v>
      </c>
      <c r="AJ25" s="204">
        <f t="shared" si="50"/>
        <v>1.2378200000000006</v>
      </c>
      <c r="AK25" s="204">
        <f t="shared" si="50"/>
        <v>1.9140200000000007</v>
      </c>
      <c r="AL25" s="204">
        <f t="shared" si="50"/>
        <v>1.1640200000000005</v>
      </c>
      <c r="AM25" s="204">
        <f t="shared" si="50"/>
        <v>1.9370200000000006</v>
      </c>
      <c r="AN25" s="204">
        <f t="shared" si="50"/>
        <v>1.9140200000000007</v>
      </c>
      <c r="AO25" s="204">
        <f t="shared" si="50"/>
        <v>1.9648200000000007</v>
      </c>
      <c r="AP25" s="204">
        <f t="shared" si="50"/>
        <v>1.6116200000000005</v>
      </c>
      <c r="AQ25" s="204">
        <f t="shared" si="50"/>
        <v>1.9648200000000007</v>
      </c>
      <c r="AR25" s="204">
        <f t="shared" si="50"/>
        <v>1.9370200000000006</v>
      </c>
      <c r="AS25" s="204">
        <f t="shared" si="50"/>
        <v>1.9370200000000006</v>
      </c>
    </row>
    <row r="26" spans="1:45" x14ac:dyDescent="0.2">
      <c r="A26" s="174" t="s">
        <v>3534</v>
      </c>
      <c r="B26" s="174">
        <v>6</v>
      </c>
      <c r="C26" s="204"/>
      <c r="D26" s="204"/>
      <c r="E26" s="204"/>
      <c r="F26" s="205">
        <v>23</v>
      </c>
      <c r="G26" s="174">
        <v>191</v>
      </c>
      <c r="H26" s="204">
        <f>H25+(0.0254*1.3)</f>
        <v>1.9700400000000007</v>
      </c>
      <c r="I26" s="204">
        <f t="shared" ref="I26:AS26" si="51">I25+(0.0254*1.3)</f>
        <v>1.8962400000000008</v>
      </c>
      <c r="J26" s="204">
        <f t="shared" si="51"/>
        <v>1.9470400000000008</v>
      </c>
      <c r="K26" s="204">
        <f t="shared" si="51"/>
        <v>1.9216400000000007</v>
      </c>
      <c r="L26" s="204">
        <f t="shared" si="51"/>
        <v>1.9700400000000007</v>
      </c>
      <c r="M26" s="204">
        <f t="shared" si="51"/>
        <v>2.1073400000000002</v>
      </c>
      <c r="N26" s="204">
        <f t="shared" si="51"/>
        <v>1.9470400000000008</v>
      </c>
      <c r="O26" s="204">
        <f t="shared" si="51"/>
        <v>1.2200400000000007</v>
      </c>
      <c r="P26" s="204">
        <f t="shared" si="51"/>
        <v>2.1708399999999997</v>
      </c>
      <c r="Q26" s="204">
        <f t="shared" si="51"/>
        <v>1.7462400000000005</v>
      </c>
      <c r="R26" s="204">
        <f t="shared" si="51"/>
        <v>1.7462400000000005</v>
      </c>
      <c r="S26" s="204">
        <f t="shared" si="51"/>
        <v>1.9978400000000007</v>
      </c>
      <c r="T26" s="204">
        <f t="shared" si="51"/>
        <v>0.98353999999999986</v>
      </c>
      <c r="U26" s="204">
        <f t="shared" si="51"/>
        <v>1.1970400000000005</v>
      </c>
      <c r="V26" s="204">
        <f t="shared" si="51"/>
        <v>1.5708400000000007</v>
      </c>
      <c r="W26" s="204">
        <f t="shared" si="51"/>
        <v>1.8962400000000008</v>
      </c>
      <c r="X26" s="204">
        <f t="shared" si="51"/>
        <v>1.9827400000000006</v>
      </c>
      <c r="Y26" s="204">
        <f t="shared" si="51"/>
        <v>2.0589400000000007</v>
      </c>
      <c r="Z26" s="204">
        <f t="shared" si="51"/>
        <v>1.9470400000000008</v>
      </c>
      <c r="AA26" s="204">
        <f t="shared" si="51"/>
        <v>1.4970400000000008</v>
      </c>
      <c r="AB26" s="204">
        <f t="shared" si="51"/>
        <v>1.9954400000000005</v>
      </c>
      <c r="AC26" s="204">
        <f t="shared" si="51"/>
        <v>2.0081400000000005</v>
      </c>
      <c r="AD26" s="204">
        <f t="shared" si="51"/>
        <v>1.1716400000000005</v>
      </c>
      <c r="AE26" s="204">
        <f t="shared" si="51"/>
        <v>1.9700400000000007</v>
      </c>
      <c r="AF26" s="204">
        <f t="shared" si="51"/>
        <v>1.6216400000000006</v>
      </c>
      <c r="AG26" s="204">
        <f t="shared" si="51"/>
        <v>1.9724400000000006</v>
      </c>
      <c r="AH26" s="204">
        <f t="shared" si="51"/>
        <v>1.9192400000000007</v>
      </c>
      <c r="AI26" s="204">
        <f t="shared" si="51"/>
        <v>1.8962400000000008</v>
      </c>
      <c r="AJ26" s="204">
        <f t="shared" si="51"/>
        <v>1.2708400000000006</v>
      </c>
      <c r="AK26" s="204">
        <f t="shared" si="51"/>
        <v>1.9470400000000008</v>
      </c>
      <c r="AL26" s="204">
        <f t="shared" si="51"/>
        <v>1.1970400000000005</v>
      </c>
      <c r="AM26" s="204">
        <f t="shared" si="51"/>
        <v>1.9700400000000007</v>
      </c>
      <c r="AN26" s="204">
        <f t="shared" si="51"/>
        <v>1.9470400000000008</v>
      </c>
      <c r="AO26" s="204">
        <f t="shared" si="51"/>
        <v>1.9978400000000007</v>
      </c>
      <c r="AP26" s="204">
        <f t="shared" si="51"/>
        <v>1.6446400000000005</v>
      </c>
      <c r="AQ26" s="204">
        <f t="shared" si="51"/>
        <v>1.9978400000000007</v>
      </c>
      <c r="AR26" s="204">
        <f t="shared" si="51"/>
        <v>1.9700400000000007</v>
      </c>
      <c r="AS26" s="204">
        <f t="shared" si="51"/>
        <v>1.9700400000000007</v>
      </c>
    </row>
    <row r="27" spans="1:45" x14ac:dyDescent="0.2">
      <c r="A27" s="174" t="s">
        <v>3535</v>
      </c>
      <c r="B27" s="174">
        <v>0</v>
      </c>
      <c r="C27" s="204"/>
      <c r="D27" s="204"/>
      <c r="E27" s="204"/>
      <c r="F27" s="205">
        <v>24</v>
      </c>
      <c r="G27" s="174">
        <v>221</v>
      </c>
      <c r="H27" s="204">
        <f>H26+(0.0254*1.4)</f>
        <v>2.0056000000000007</v>
      </c>
      <c r="I27" s="204">
        <f t="shared" ref="I27:AS27" si="52">I26+(0.0254*1.4)</f>
        <v>1.9318000000000008</v>
      </c>
      <c r="J27" s="204">
        <f t="shared" si="52"/>
        <v>1.9826000000000008</v>
      </c>
      <c r="K27" s="204">
        <f t="shared" si="52"/>
        <v>1.9572000000000007</v>
      </c>
      <c r="L27" s="204">
        <f t="shared" si="52"/>
        <v>2.0056000000000007</v>
      </c>
      <c r="M27" s="204">
        <f t="shared" si="52"/>
        <v>2.1429</v>
      </c>
      <c r="N27" s="204">
        <f t="shared" si="52"/>
        <v>1.9826000000000008</v>
      </c>
      <c r="O27" s="204">
        <f t="shared" si="52"/>
        <v>1.2556000000000007</v>
      </c>
      <c r="P27" s="204">
        <f t="shared" si="52"/>
        <v>2.2063999999999995</v>
      </c>
      <c r="Q27" s="204">
        <f t="shared" si="52"/>
        <v>1.7818000000000005</v>
      </c>
      <c r="R27" s="204">
        <f t="shared" si="52"/>
        <v>1.7818000000000005</v>
      </c>
      <c r="S27" s="204">
        <f t="shared" si="52"/>
        <v>2.0334000000000008</v>
      </c>
      <c r="T27" s="204">
        <f t="shared" si="52"/>
        <v>1.0190999999999999</v>
      </c>
      <c r="U27" s="204">
        <f t="shared" si="52"/>
        <v>1.2326000000000006</v>
      </c>
      <c r="V27" s="204">
        <f t="shared" si="52"/>
        <v>1.6064000000000007</v>
      </c>
      <c r="W27" s="204">
        <f t="shared" si="52"/>
        <v>1.9318000000000008</v>
      </c>
      <c r="X27" s="204">
        <f t="shared" si="52"/>
        <v>2.0183000000000004</v>
      </c>
      <c r="Y27" s="204">
        <f t="shared" si="52"/>
        <v>2.0945000000000005</v>
      </c>
      <c r="Z27" s="204">
        <f t="shared" si="52"/>
        <v>1.9826000000000008</v>
      </c>
      <c r="AA27" s="204">
        <f t="shared" si="52"/>
        <v>1.5326000000000009</v>
      </c>
      <c r="AB27" s="204">
        <f t="shared" si="52"/>
        <v>2.0310000000000006</v>
      </c>
      <c r="AC27" s="204">
        <f t="shared" si="52"/>
        <v>2.0437000000000003</v>
      </c>
      <c r="AD27" s="204">
        <f t="shared" si="52"/>
        <v>1.2072000000000005</v>
      </c>
      <c r="AE27" s="204">
        <f t="shared" si="52"/>
        <v>2.0056000000000007</v>
      </c>
      <c r="AF27" s="204">
        <f t="shared" si="52"/>
        <v>1.6572000000000007</v>
      </c>
      <c r="AG27" s="204">
        <f t="shared" si="52"/>
        <v>2.0080000000000005</v>
      </c>
      <c r="AH27" s="204">
        <f t="shared" si="52"/>
        <v>1.9548000000000008</v>
      </c>
      <c r="AI27" s="204">
        <f t="shared" si="52"/>
        <v>1.9318000000000008</v>
      </c>
      <c r="AJ27" s="204">
        <f t="shared" si="52"/>
        <v>1.3064000000000007</v>
      </c>
      <c r="AK27" s="204">
        <f t="shared" si="52"/>
        <v>1.9826000000000008</v>
      </c>
      <c r="AL27" s="204">
        <f t="shared" si="52"/>
        <v>1.2326000000000006</v>
      </c>
      <c r="AM27" s="204">
        <f t="shared" si="52"/>
        <v>2.0056000000000007</v>
      </c>
      <c r="AN27" s="204">
        <f t="shared" si="52"/>
        <v>1.9826000000000008</v>
      </c>
      <c r="AO27" s="204">
        <f t="shared" si="52"/>
        <v>2.0334000000000008</v>
      </c>
      <c r="AP27" s="204">
        <f t="shared" si="52"/>
        <v>1.6802000000000006</v>
      </c>
      <c r="AQ27" s="204">
        <f t="shared" si="52"/>
        <v>2.0334000000000008</v>
      </c>
      <c r="AR27" s="204">
        <f t="shared" si="52"/>
        <v>2.0056000000000007</v>
      </c>
      <c r="AS27" s="204">
        <f t="shared" si="52"/>
        <v>2.0056000000000007</v>
      </c>
    </row>
    <row r="28" spans="1:45" x14ac:dyDescent="0.2">
      <c r="A28" s="174" t="s">
        <v>180</v>
      </c>
      <c r="B28" s="204">
        <f>B26*0.3+B27*0.0254</f>
        <v>1.7999999999999998</v>
      </c>
      <c r="C28" s="204"/>
      <c r="D28" s="204"/>
      <c r="E28" s="204"/>
      <c r="F28" s="205">
        <v>25</v>
      </c>
      <c r="G28" s="174">
        <v>261</v>
      </c>
      <c r="H28" s="204">
        <f>H27+(0.0254*1.5)</f>
        <v>2.0437000000000007</v>
      </c>
      <c r="I28" s="204">
        <f t="shared" ref="I28:AS28" si="53">I27+(0.0254*1.5)</f>
        <v>1.9699000000000009</v>
      </c>
      <c r="J28" s="204">
        <f t="shared" si="53"/>
        <v>2.0207000000000006</v>
      </c>
      <c r="K28" s="204">
        <f t="shared" si="53"/>
        <v>1.9953000000000007</v>
      </c>
      <c r="L28" s="204">
        <f t="shared" si="53"/>
        <v>2.0437000000000007</v>
      </c>
      <c r="M28" s="204">
        <f t="shared" si="53"/>
        <v>2.181</v>
      </c>
      <c r="N28" s="204">
        <f t="shared" si="53"/>
        <v>2.0207000000000006</v>
      </c>
      <c r="O28" s="204">
        <f t="shared" si="53"/>
        <v>1.2937000000000007</v>
      </c>
      <c r="P28" s="204">
        <f t="shared" si="53"/>
        <v>2.2444999999999995</v>
      </c>
      <c r="Q28" s="204">
        <f t="shared" si="53"/>
        <v>1.8199000000000005</v>
      </c>
      <c r="R28" s="204">
        <f t="shared" si="53"/>
        <v>1.8199000000000005</v>
      </c>
      <c r="S28" s="204">
        <f t="shared" si="53"/>
        <v>2.0715000000000008</v>
      </c>
      <c r="T28" s="204">
        <f t="shared" si="53"/>
        <v>1.0571999999999999</v>
      </c>
      <c r="U28" s="204">
        <f t="shared" si="53"/>
        <v>1.2707000000000006</v>
      </c>
      <c r="V28" s="204">
        <f t="shared" si="53"/>
        <v>1.6445000000000007</v>
      </c>
      <c r="W28" s="204">
        <f t="shared" si="53"/>
        <v>1.9699000000000009</v>
      </c>
      <c r="X28" s="204">
        <f t="shared" si="53"/>
        <v>2.0564000000000004</v>
      </c>
      <c r="Y28" s="204">
        <f t="shared" si="53"/>
        <v>2.1326000000000005</v>
      </c>
      <c r="Z28" s="204">
        <f t="shared" si="53"/>
        <v>2.0207000000000006</v>
      </c>
      <c r="AA28" s="204">
        <f t="shared" si="53"/>
        <v>1.5707000000000009</v>
      </c>
      <c r="AB28" s="204">
        <f t="shared" si="53"/>
        <v>2.0691000000000006</v>
      </c>
      <c r="AC28" s="204">
        <f t="shared" si="53"/>
        <v>2.0818000000000003</v>
      </c>
      <c r="AD28" s="204">
        <f t="shared" si="53"/>
        <v>1.2453000000000005</v>
      </c>
      <c r="AE28" s="204">
        <f t="shared" si="53"/>
        <v>2.0437000000000007</v>
      </c>
      <c r="AF28" s="204">
        <f t="shared" si="53"/>
        <v>1.6953000000000007</v>
      </c>
      <c r="AG28" s="204">
        <f t="shared" si="53"/>
        <v>2.0461000000000005</v>
      </c>
      <c r="AH28" s="204">
        <f t="shared" si="53"/>
        <v>1.9929000000000008</v>
      </c>
      <c r="AI28" s="204">
        <f t="shared" si="53"/>
        <v>1.9699000000000009</v>
      </c>
      <c r="AJ28" s="204">
        <f t="shared" si="53"/>
        <v>1.3445000000000007</v>
      </c>
      <c r="AK28" s="204">
        <f t="shared" si="53"/>
        <v>2.0207000000000006</v>
      </c>
      <c r="AL28" s="204">
        <f t="shared" si="53"/>
        <v>1.2707000000000006</v>
      </c>
      <c r="AM28" s="204">
        <f t="shared" si="53"/>
        <v>2.0437000000000007</v>
      </c>
      <c r="AN28" s="204">
        <f t="shared" si="53"/>
        <v>2.0207000000000006</v>
      </c>
      <c r="AO28" s="204">
        <f t="shared" si="53"/>
        <v>2.0715000000000008</v>
      </c>
      <c r="AP28" s="204">
        <f t="shared" si="53"/>
        <v>1.7183000000000006</v>
      </c>
      <c r="AQ28" s="204">
        <f t="shared" si="53"/>
        <v>2.0715000000000008</v>
      </c>
      <c r="AR28" s="204">
        <f t="shared" si="53"/>
        <v>2.0437000000000007</v>
      </c>
      <c r="AS28" s="204">
        <f t="shared" si="53"/>
        <v>2.0437000000000007</v>
      </c>
    </row>
    <row r="29" spans="1:45" x14ac:dyDescent="0.2">
      <c r="A29" s="174" t="s">
        <v>3536</v>
      </c>
      <c r="B29" s="174">
        <v>130</v>
      </c>
      <c r="C29" s="204">
        <v>45</v>
      </c>
      <c r="D29" s="204"/>
      <c r="E29" s="204"/>
      <c r="F29" s="205">
        <v>26</v>
      </c>
      <c r="G29" s="174">
        <v>281</v>
      </c>
      <c r="H29" s="204">
        <f>H28+(0.0254*1.6)</f>
        <v>2.0843400000000005</v>
      </c>
      <c r="I29" s="204">
        <f t="shared" ref="I29:AS29" si="54">I28+(0.0254*1.6)</f>
        <v>2.0105400000000007</v>
      </c>
      <c r="J29" s="204">
        <f t="shared" si="54"/>
        <v>2.0613400000000004</v>
      </c>
      <c r="K29" s="204">
        <f t="shared" si="54"/>
        <v>2.0359400000000005</v>
      </c>
      <c r="L29" s="204">
        <f t="shared" si="54"/>
        <v>2.0843400000000005</v>
      </c>
      <c r="M29" s="204">
        <f t="shared" si="54"/>
        <v>2.2216399999999998</v>
      </c>
      <c r="N29" s="204">
        <f t="shared" si="54"/>
        <v>2.0613400000000004</v>
      </c>
      <c r="O29" s="204">
        <f t="shared" si="54"/>
        <v>1.3343400000000007</v>
      </c>
      <c r="P29" s="204">
        <f t="shared" si="54"/>
        <v>2.2851399999999993</v>
      </c>
      <c r="Q29" s="204">
        <f t="shared" si="54"/>
        <v>1.8605400000000005</v>
      </c>
      <c r="R29" s="204">
        <f t="shared" si="54"/>
        <v>1.8605400000000005</v>
      </c>
      <c r="S29" s="204">
        <f t="shared" si="54"/>
        <v>2.1121400000000006</v>
      </c>
      <c r="T29" s="204">
        <f t="shared" si="54"/>
        <v>1.0978399999999999</v>
      </c>
      <c r="U29" s="204">
        <f t="shared" si="54"/>
        <v>1.3113400000000006</v>
      </c>
      <c r="V29" s="204">
        <f t="shared" si="54"/>
        <v>1.6851400000000007</v>
      </c>
      <c r="W29" s="204">
        <f t="shared" si="54"/>
        <v>2.0105400000000007</v>
      </c>
      <c r="X29" s="204">
        <f t="shared" si="54"/>
        <v>2.0970400000000002</v>
      </c>
      <c r="Y29" s="204">
        <f t="shared" si="54"/>
        <v>2.1732400000000003</v>
      </c>
      <c r="Z29" s="204">
        <f t="shared" si="54"/>
        <v>2.0613400000000004</v>
      </c>
      <c r="AA29" s="204">
        <f t="shared" si="54"/>
        <v>1.6113400000000009</v>
      </c>
      <c r="AB29" s="204">
        <f t="shared" si="54"/>
        <v>2.1097400000000004</v>
      </c>
      <c r="AC29" s="204">
        <f t="shared" si="54"/>
        <v>2.1224400000000001</v>
      </c>
      <c r="AD29" s="204">
        <f t="shared" si="54"/>
        <v>1.2859400000000005</v>
      </c>
      <c r="AE29" s="204">
        <f t="shared" si="54"/>
        <v>2.0843400000000005</v>
      </c>
      <c r="AF29" s="204">
        <f t="shared" si="54"/>
        <v>1.7359400000000007</v>
      </c>
      <c r="AG29" s="204">
        <f t="shared" si="54"/>
        <v>2.0867400000000003</v>
      </c>
      <c r="AH29" s="204">
        <f t="shared" si="54"/>
        <v>2.0335400000000008</v>
      </c>
      <c r="AI29" s="204">
        <f t="shared" si="54"/>
        <v>2.0105400000000007</v>
      </c>
      <c r="AJ29" s="204">
        <f t="shared" si="54"/>
        <v>1.3851400000000007</v>
      </c>
      <c r="AK29" s="204">
        <f t="shared" si="54"/>
        <v>2.0613400000000004</v>
      </c>
      <c r="AL29" s="204">
        <f t="shared" si="54"/>
        <v>1.3113400000000006</v>
      </c>
      <c r="AM29" s="204">
        <f t="shared" si="54"/>
        <v>2.0843400000000005</v>
      </c>
      <c r="AN29" s="204">
        <f t="shared" si="54"/>
        <v>2.0613400000000004</v>
      </c>
      <c r="AO29" s="204">
        <f t="shared" si="54"/>
        <v>2.1121400000000006</v>
      </c>
      <c r="AP29" s="204">
        <f t="shared" si="54"/>
        <v>1.7589400000000006</v>
      </c>
      <c r="AQ29" s="204">
        <f t="shared" si="54"/>
        <v>2.1121400000000006</v>
      </c>
      <c r="AR29" s="204">
        <f t="shared" si="54"/>
        <v>2.0843400000000005</v>
      </c>
      <c r="AS29" s="204">
        <f t="shared" si="54"/>
        <v>2.0843400000000005</v>
      </c>
    </row>
    <row r="30" spans="1:45" x14ac:dyDescent="0.2">
      <c r="A30" s="174" t="s">
        <v>184</v>
      </c>
      <c r="B30" s="174">
        <f>B29*0.45</f>
        <v>58.5</v>
      </c>
      <c r="C30" s="204">
        <v>79.650000000000006</v>
      </c>
      <c r="D30" s="204"/>
      <c r="E30" s="204"/>
      <c r="F30" s="205">
        <v>27</v>
      </c>
      <c r="G30" s="174">
        <v>291</v>
      </c>
      <c r="H30" s="204">
        <f>H29+(0.0254*1.7)</f>
        <v>2.1275200000000005</v>
      </c>
      <c r="I30" s="204">
        <f t="shared" ref="I30:AS30" si="55">I29+(0.0254*1.7)</f>
        <v>2.0537200000000007</v>
      </c>
      <c r="J30" s="204">
        <f t="shared" si="55"/>
        <v>2.1045200000000004</v>
      </c>
      <c r="K30" s="204">
        <f t="shared" si="55"/>
        <v>2.0791200000000005</v>
      </c>
      <c r="L30" s="204">
        <f t="shared" si="55"/>
        <v>2.1275200000000005</v>
      </c>
      <c r="M30" s="204">
        <f t="shared" si="55"/>
        <v>2.2648199999999998</v>
      </c>
      <c r="N30" s="204">
        <f t="shared" si="55"/>
        <v>2.1045200000000004</v>
      </c>
      <c r="O30" s="204">
        <f t="shared" si="55"/>
        <v>1.3775200000000007</v>
      </c>
      <c r="P30" s="204">
        <f t="shared" si="55"/>
        <v>2.3283199999999993</v>
      </c>
      <c r="Q30" s="204">
        <f t="shared" si="55"/>
        <v>1.9037200000000005</v>
      </c>
      <c r="R30" s="204">
        <f t="shared" si="55"/>
        <v>1.9037200000000005</v>
      </c>
      <c r="S30" s="204">
        <f t="shared" si="55"/>
        <v>2.1553200000000006</v>
      </c>
      <c r="T30" s="204">
        <f t="shared" si="55"/>
        <v>1.1410199999999999</v>
      </c>
      <c r="U30" s="204">
        <f t="shared" si="55"/>
        <v>1.3545200000000006</v>
      </c>
      <c r="V30" s="204">
        <f t="shared" si="55"/>
        <v>1.7283200000000007</v>
      </c>
      <c r="W30" s="204">
        <f t="shared" si="55"/>
        <v>2.0537200000000007</v>
      </c>
      <c r="X30" s="204">
        <f t="shared" si="55"/>
        <v>2.1402200000000002</v>
      </c>
      <c r="Y30" s="204">
        <f t="shared" si="55"/>
        <v>2.2164200000000003</v>
      </c>
      <c r="Z30" s="204">
        <f t="shared" si="55"/>
        <v>2.1045200000000004</v>
      </c>
      <c r="AA30" s="204">
        <f t="shared" si="55"/>
        <v>1.6545200000000009</v>
      </c>
      <c r="AB30" s="204">
        <f t="shared" si="55"/>
        <v>2.1529200000000004</v>
      </c>
      <c r="AC30" s="204">
        <f t="shared" si="55"/>
        <v>2.1656200000000001</v>
      </c>
      <c r="AD30" s="204">
        <f t="shared" si="55"/>
        <v>1.3291200000000005</v>
      </c>
      <c r="AE30" s="204">
        <f t="shared" si="55"/>
        <v>2.1275200000000005</v>
      </c>
      <c r="AF30" s="204">
        <f t="shared" si="55"/>
        <v>1.7791200000000007</v>
      </c>
      <c r="AG30" s="204">
        <f t="shared" si="55"/>
        <v>2.1299200000000003</v>
      </c>
      <c r="AH30" s="204">
        <f t="shared" si="55"/>
        <v>2.0767200000000008</v>
      </c>
      <c r="AI30" s="204">
        <f t="shared" si="55"/>
        <v>2.0537200000000007</v>
      </c>
      <c r="AJ30" s="204">
        <f t="shared" si="55"/>
        <v>1.4283200000000007</v>
      </c>
      <c r="AK30" s="204">
        <f t="shared" si="55"/>
        <v>2.1045200000000004</v>
      </c>
      <c r="AL30" s="204">
        <f t="shared" si="55"/>
        <v>1.3545200000000006</v>
      </c>
      <c r="AM30" s="204">
        <f t="shared" si="55"/>
        <v>2.1275200000000005</v>
      </c>
      <c r="AN30" s="204">
        <f t="shared" si="55"/>
        <v>2.1045200000000004</v>
      </c>
      <c r="AO30" s="204">
        <f t="shared" si="55"/>
        <v>2.1553200000000006</v>
      </c>
      <c r="AP30" s="204">
        <f t="shared" si="55"/>
        <v>1.8021200000000006</v>
      </c>
      <c r="AQ30" s="204">
        <f t="shared" si="55"/>
        <v>2.1553200000000006</v>
      </c>
      <c r="AR30" s="204">
        <f t="shared" si="55"/>
        <v>2.1275200000000005</v>
      </c>
      <c r="AS30" s="204">
        <f t="shared" si="55"/>
        <v>2.1275200000000005</v>
      </c>
    </row>
    <row r="31" spans="1:45" x14ac:dyDescent="0.2">
      <c r="C31" s="204">
        <f>(C30-C29)/28</f>
        <v>1.2375000000000003</v>
      </c>
      <c r="D31" s="204"/>
      <c r="E31" s="204"/>
      <c r="F31" s="205">
        <v>28</v>
      </c>
      <c r="G31" s="174">
        <v>321</v>
      </c>
      <c r="H31" s="204">
        <f>H30+(0.0254*1.8)</f>
        <v>2.1732400000000007</v>
      </c>
      <c r="I31" s="204">
        <f t="shared" ref="I31:AS31" si="56">I30+(0.0254*1.8)</f>
        <v>2.0994400000000009</v>
      </c>
      <c r="J31" s="204">
        <f t="shared" si="56"/>
        <v>2.1502400000000006</v>
      </c>
      <c r="K31" s="204">
        <f t="shared" si="56"/>
        <v>2.1248400000000007</v>
      </c>
      <c r="L31" s="204">
        <f t="shared" si="56"/>
        <v>2.1732400000000007</v>
      </c>
      <c r="M31" s="204">
        <f t="shared" si="56"/>
        <v>2.31054</v>
      </c>
      <c r="N31" s="204">
        <f t="shared" si="56"/>
        <v>2.1502400000000006</v>
      </c>
      <c r="O31" s="204">
        <f t="shared" si="56"/>
        <v>1.4232400000000007</v>
      </c>
      <c r="P31" s="204">
        <f t="shared" si="56"/>
        <v>2.3740399999999995</v>
      </c>
      <c r="Q31" s="204">
        <f t="shared" si="56"/>
        <v>1.9494400000000005</v>
      </c>
      <c r="R31" s="204">
        <f t="shared" si="56"/>
        <v>1.9494400000000005</v>
      </c>
      <c r="S31" s="204">
        <f t="shared" si="56"/>
        <v>2.2010400000000008</v>
      </c>
      <c r="T31" s="204">
        <f t="shared" si="56"/>
        <v>1.1867399999999999</v>
      </c>
      <c r="U31" s="204">
        <f t="shared" si="56"/>
        <v>1.4002400000000006</v>
      </c>
      <c r="V31" s="204">
        <f t="shared" si="56"/>
        <v>1.7740400000000007</v>
      </c>
      <c r="W31" s="204">
        <f t="shared" si="56"/>
        <v>2.0994400000000009</v>
      </c>
      <c r="X31" s="204">
        <f t="shared" si="56"/>
        <v>2.1859400000000004</v>
      </c>
      <c r="Y31" s="204">
        <f t="shared" si="56"/>
        <v>2.2621400000000005</v>
      </c>
      <c r="Z31" s="204">
        <f t="shared" si="56"/>
        <v>2.1502400000000006</v>
      </c>
      <c r="AA31" s="204">
        <f t="shared" si="56"/>
        <v>1.7002400000000009</v>
      </c>
      <c r="AB31" s="204">
        <f t="shared" si="56"/>
        <v>2.1986400000000006</v>
      </c>
      <c r="AC31" s="204">
        <f t="shared" si="56"/>
        <v>2.2113400000000003</v>
      </c>
      <c r="AD31" s="204">
        <f t="shared" si="56"/>
        <v>1.3748400000000005</v>
      </c>
      <c r="AE31" s="204">
        <f t="shared" si="56"/>
        <v>2.1732400000000007</v>
      </c>
      <c r="AF31" s="204">
        <f t="shared" si="56"/>
        <v>1.8248400000000007</v>
      </c>
      <c r="AG31" s="204">
        <f t="shared" si="56"/>
        <v>2.1756400000000005</v>
      </c>
      <c r="AH31" s="204">
        <f t="shared" si="56"/>
        <v>2.122440000000001</v>
      </c>
      <c r="AI31" s="204">
        <f t="shared" si="56"/>
        <v>2.0994400000000009</v>
      </c>
      <c r="AJ31" s="204">
        <f t="shared" si="56"/>
        <v>1.4740400000000007</v>
      </c>
      <c r="AK31" s="204">
        <f t="shared" si="56"/>
        <v>2.1502400000000006</v>
      </c>
      <c r="AL31" s="204">
        <f t="shared" si="56"/>
        <v>1.4002400000000006</v>
      </c>
      <c r="AM31" s="204">
        <f t="shared" si="56"/>
        <v>2.1732400000000007</v>
      </c>
      <c r="AN31" s="204">
        <f t="shared" si="56"/>
        <v>2.1502400000000006</v>
      </c>
      <c r="AO31" s="204">
        <f t="shared" si="56"/>
        <v>2.2010400000000008</v>
      </c>
      <c r="AP31" s="204">
        <f t="shared" si="56"/>
        <v>1.8478400000000006</v>
      </c>
      <c r="AQ31" s="204">
        <f t="shared" si="56"/>
        <v>2.2010400000000008</v>
      </c>
      <c r="AR31" s="204">
        <f t="shared" si="56"/>
        <v>2.1732400000000007</v>
      </c>
      <c r="AS31" s="204">
        <f t="shared" si="56"/>
        <v>2.1732400000000007</v>
      </c>
    </row>
    <row r="33" spans="1:71" x14ac:dyDescent="0.2">
      <c r="A33" s="174" t="s">
        <v>3537</v>
      </c>
      <c r="B33" s="174">
        <f>VLOOKUP(Stats!$L$8,$G$35:$AS$134,$C$42)</f>
        <v>0</v>
      </c>
      <c r="G33" s="174" t="s">
        <v>1163</v>
      </c>
      <c r="H33" s="268" t="s">
        <v>4181</v>
      </c>
      <c r="I33" s="268" t="s">
        <v>4381</v>
      </c>
      <c r="J33" s="268" t="s">
        <v>4197</v>
      </c>
      <c r="K33" s="268" t="s">
        <v>4187</v>
      </c>
      <c r="L33" s="268" t="s">
        <v>4188</v>
      </c>
      <c r="M33" s="268" t="s">
        <v>913</v>
      </c>
      <c r="N33" s="268" t="s">
        <v>4195</v>
      </c>
      <c r="O33" s="268" t="s">
        <v>4183</v>
      </c>
      <c r="P33" s="268" t="s">
        <v>4193</v>
      </c>
      <c r="Q33" s="268" t="s">
        <v>977</v>
      </c>
      <c r="R33" s="268" t="s">
        <v>976</v>
      </c>
      <c r="S33" s="268" t="s">
        <v>4198</v>
      </c>
      <c r="T33" s="268" t="s">
        <v>4349</v>
      </c>
      <c r="U33" s="268" t="s">
        <v>4361</v>
      </c>
      <c r="V33" s="268" t="s">
        <v>4360</v>
      </c>
      <c r="W33" s="268" t="s">
        <v>4199</v>
      </c>
      <c r="X33" s="268" t="s">
        <v>899</v>
      </c>
      <c r="Y33" s="268" t="s">
        <v>1058</v>
      </c>
      <c r="Z33" s="268" t="s">
        <v>4200</v>
      </c>
      <c r="AA33" s="268" t="s">
        <v>4359</v>
      </c>
      <c r="AB33" s="268" t="s">
        <v>4189</v>
      </c>
      <c r="AC33" s="268" t="s">
        <v>4388</v>
      </c>
      <c r="AD33" s="268" t="s">
        <v>4393</v>
      </c>
      <c r="AE33" s="268" t="s">
        <v>4172</v>
      </c>
      <c r="AF33" s="268" t="s">
        <v>4364</v>
      </c>
      <c r="AG33" s="268" t="s">
        <v>4190</v>
      </c>
      <c r="AH33" s="268" t="s">
        <v>4201</v>
      </c>
      <c r="AI33" s="268" t="s">
        <v>4191</v>
      </c>
      <c r="AJ33" s="268" t="s">
        <v>4185</v>
      </c>
      <c r="AK33" s="268" t="s">
        <v>4202</v>
      </c>
      <c r="AL33" s="268" t="s">
        <v>4371</v>
      </c>
      <c r="AM33" s="268" t="s">
        <v>4171</v>
      </c>
      <c r="AN33" s="268" t="s">
        <v>4192</v>
      </c>
      <c r="AO33" s="268" t="s">
        <v>4203</v>
      </c>
      <c r="AP33" s="268" t="s">
        <v>4377</v>
      </c>
      <c r="AQ33" s="268" t="s">
        <v>4204</v>
      </c>
      <c r="AR33" s="268" t="s">
        <v>4180</v>
      </c>
      <c r="AS33" s="268" t="s">
        <v>4173</v>
      </c>
    </row>
    <row r="34" spans="1:71" x14ac:dyDescent="0.2">
      <c r="A34" s="174" t="s">
        <v>3538</v>
      </c>
      <c r="B34" s="204">
        <f>VLOOKUP(Stats!$B$2,$B$44:$D$108,3,0)</f>
        <v>18.554819521427603</v>
      </c>
      <c r="G34" s="185">
        <v>1</v>
      </c>
      <c r="H34" s="223">
        <v>2</v>
      </c>
      <c r="I34" s="223">
        <v>3</v>
      </c>
      <c r="J34" s="223">
        <v>4</v>
      </c>
      <c r="K34" s="223">
        <v>5</v>
      </c>
      <c r="L34" s="223">
        <v>6</v>
      </c>
      <c r="M34" s="223">
        <v>7</v>
      </c>
      <c r="N34" s="223">
        <v>8</v>
      </c>
      <c r="O34" s="223">
        <v>9</v>
      </c>
      <c r="P34" s="223">
        <v>10</v>
      </c>
      <c r="Q34" s="223">
        <v>11</v>
      </c>
      <c r="R34" s="223">
        <v>12</v>
      </c>
      <c r="S34" s="223">
        <v>13</v>
      </c>
      <c r="T34" s="223">
        <v>14</v>
      </c>
      <c r="U34" s="223">
        <v>15</v>
      </c>
      <c r="V34" s="223">
        <v>16</v>
      </c>
      <c r="W34" s="223">
        <v>17</v>
      </c>
      <c r="X34" s="223">
        <v>18</v>
      </c>
      <c r="Y34" s="223">
        <v>19</v>
      </c>
      <c r="Z34" s="223">
        <v>20</v>
      </c>
      <c r="AA34" s="223">
        <v>21</v>
      </c>
      <c r="AB34" s="223">
        <v>22</v>
      </c>
      <c r="AC34" s="223">
        <v>23</v>
      </c>
      <c r="AD34" s="223">
        <v>24</v>
      </c>
      <c r="AE34" s="223">
        <v>25</v>
      </c>
      <c r="AF34" s="223">
        <v>26</v>
      </c>
      <c r="AG34" s="223">
        <v>27</v>
      </c>
      <c r="AH34" s="223">
        <v>28</v>
      </c>
      <c r="AI34" s="223">
        <v>29</v>
      </c>
      <c r="AJ34" s="223">
        <v>30</v>
      </c>
      <c r="AK34" s="223">
        <v>31</v>
      </c>
      <c r="AL34" s="223">
        <v>32</v>
      </c>
      <c r="AM34" s="223">
        <v>33</v>
      </c>
      <c r="AN34" s="223">
        <v>34</v>
      </c>
      <c r="AO34" s="223">
        <v>35</v>
      </c>
      <c r="AP34" s="223">
        <v>36</v>
      </c>
      <c r="AQ34" s="223">
        <v>37</v>
      </c>
      <c r="AR34" s="223">
        <v>38</v>
      </c>
      <c r="AS34" s="223">
        <v>39</v>
      </c>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185"/>
      <c r="BP34" s="185"/>
      <c r="BQ34" s="185"/>
      <c r="BR34" s="185"/>
      <c r="BS34" s="185"/>
    </row>
    <row r="35" spans="1:71" x14ac:dyDescent="0.2">
      <c r="A35" s="174" t="s">
        <v>3539</v>
      </c>
      <c r="B35" s="204">
        <f>VLOOKUP(Stats!$B$2,$B$44:$E$108,4,0)</f>
        <v>0.4712924158442604</v>
      </c>
      <c r="G35" s="185">
        <v>1</v>
      </c>
      <c r="H35" s="223">
        <v>-10</v>
      </c>
      <c r="I35" s="223">
        <v>-10</v>
      </c>
      <c r="J35" s="223">
        <v>-10</v>
      </c>
      <c r="K35" s="223">
        <v>-10</v>
      </c>
      <c r="L35" s="223">
        <v>-10</v>
      </c>
      <c r="M35" s="223">
        <v>-10</v>
      </c>
      <c r="N35" s="223">
        <v>-10</v>
      </c>
      <c r="O35" s="223">
        <v>-10</v>
      </c>
      <c r="P35" s="223">
        <v>-10</v>
      </c>
      <c r="Q35" s="223">
        <v>-10</v>
      </c>
      <c r="R35" s="223">
        <v>-10</v>
      </c>
      <c r="S35" s="223">
        <v>-10</v>
      </c>
      <c r="T35" s="223">
        <v>-10</v>
      </c>
      <c r="U35" s="223">
        <v>-10</v>
      </c>
      <c r="V35" s="223">
        <v>-10</v>
      </c>
      <c r="W35" s="223">
        <v>-10</v>
      </c>
      <c r="X35" s="223">
        <v>-10</v>
      </c>
      <c r="Y35" s="223">
        <v>-10</v>
      </c>
      <c r="Z35" s="223">
        <v>-10</v>
      </c>
      <c r="AA35" s="223">
        <v>-10</v>
      </c>
      <c r="AB35" s="223">
        <v>-10</v>
      </c>
      <c r="AC35" s="223">
        <v>-10</v>
      </c>
      <c r="AD35" s="223">
        <v>-10</v>
      </c>
      <c r="AE35" s="223">
        <v>-10</v>
      </c>
      <c r="AF35" s="223">
        <v>-10</v>
      </c>
      <c r="AG35" s="223">
        <v>-10</v>
      </c>
      <c r="AH35" s="223">
        <v>-10</v>
      </c>
      <c r="AI35" s="223">
        <v>-10</v>
      </c>
      <c r="AJ35" s="223">
        <v>-10</v>
      </c>
      <c r="AK35" s="223">
        <v>-10</v>
      </c>
      <c r="AL35" s="223">
        <v>-10</v>
      </c>
      <c r="AM35" s="223">
        <v>-10</v>
      </c>
      <c r="AN35" s="223">
        <v>-10</v>
      </c>
      <c r="AO35" s="223">
        <v>-10</v>
      </c>
      <c r="AP35" s="223">
        <v>-10</v>
      </c>
      <c r="AQ35" s="223">
        <v>-10</v>
      </c>
      <c r="AR35" s="223">
        <v>-10</v>
      </c>
      <c r="AS35" s="223">
        <v>-10</v>
      </c>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185"/>
      <c r="BP35" s="185"/>
      <c r="BQ35" s="185"/>
      <c r="BR35" s="185"/>
      <c r="BS35" s="185"/>
    </row>
    <row r="36" spans="1:71" x14ac:dyDescent="0.2">
      <c r="A36" s="174" t="s">
        <v>3540</v>
      </c>
      <c r="B36" s="174">
        <f>$B$35*$B$33</f>
        <v>0</v>
      </c>
      <c r="G36" s="185">
        <v>2</v>
      </c>
      <c r="H36" s="223">
        <v>-9</v>
      </c>
      <c r="I36" s="223">
        <v>-9</v>
      </c>
      <c r="J36" s="223">
        <v>-9</v>
      </c>
      <c r="K36" s="223">
        <v>-9</v>
      </c>
      <c r="L36" s="223">
        <v>-9</v>
      </c>
      <c r="M36" s="223">
        <v>-9</v>
      </c>
      <c r="N36" s="223">
        <v>-9</v>
      </c>
      <c r="O36" s="223">
        <v>-9</v>
      </c>
      <c r="P36" s="223">
        <v>-9</v>
      </c>
      <c r="Q36" s="223">
        <v>-9</v>
      </c>
      <c r="R36" s="223">
        <v>-9</v>
      </c>
      <c r="S36" s="223">
        <v>-9</v>
      </c>
      <c r="T36" s="223">
        <v>-9</v>
      </c>
      <c r="U36" s="223">
        <v>-9</v>
      </c>
      <c r="V36" s="223">
        <v>-9</v>
      </c>
      <c r="W36" s="223">
        <v>-9</v>
      </c>
      <c r="X36" s="223">
        <v>-9</v>
      </c>
      <c r="Y36" s="223">
        <v>-9</v>
      </c>
      <c r="Z36" s="223">
        <v>-9</v>
      </c>
      <c r="AA36" s="223">
        <v>-9</v>
      </c>
      <c r="AB36" s="223">
        <v>-9</v>
      </c>
      <c r="AC36" s="223">
        <v>-9</v>
      </c>
      <c r="AD36" s="223">
        <v>-9</v>
      </c>
      <c r="AE36" s="223">
        <v>-9</v>
      </c>
      <c r="AF36" s="223">
        <v>-9</v>
      </c>
      <c r="AG36" s="223">
        <v>-9</v>
      </c>
      <c r="AH36" s="223">
        <v>-9</v>
      </c>
      <c r="AI36" s="223">
        <v>-9</v>
      </c>
      <c r="AJ36" s="223">
        <v>-9</v>
      </c>
      <c r="AK36" s="223">
        <v>-9</v>
      </c>
      <c r="AL36" s="223">
        <v>-9</v>
      </c>
      <c r="AM36" s="223">
        <v>-9</v>
      </c>
      <c r="AN36" s="223">
        <v>-9</v>
      </c>
      <c r="AO36" s="223">
        <v>-9</v>
      </c>
      <c r="AP36" s="223">
        <v>-9</v>
      </c>
      <c r="AQ36" s="223">
        <v>-9</v>
      </c>
      <c r="AR36" s="223">
        <v>-9</v>
      </c>
      <c r="AS36" s="223">
        <v>-9</v>
      </c>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185"/>
      <c r="BP36" s="185"/>
      <c r="BQ36" s="185"/>
      <c r="BR36" s="185"/>
      <c r="BS36" s="185"/>
    </row>
    <row r="37" spans="1:71" x14ac:dyDescent="0.2">
      <c r="A37" s="174" t="s">
        <v>3541</v>
      </c>
      <c r="B37" s="204">
        <f>Stats!$B$3*$B$34+$B$36</f>
        <v>13.253707584155737</v>
      </c>
      <c r="D37" s="174" t="s">
        <v>3542</v>
      </c>
      <c r="E37" s="174">
        <v>120</v>
      </c>
      <c r="G37" s="185">
        <v>3</v>
      </c>
      <c r="H37" s="223">
        <v>-8</v>
      </c>
      <c r="I37" s="223">
        <v>-8</v>
      </c>
      <c r="J37" s="223">
        <v>-8</v>
      </c>
      <c r="K37" s="223">
        <v>-8</v>
      </c>
      <c r="L37" s="223">
        <v>-8</v>
      </c>
      <c r="M37" s="223">
        <v>-8</v>
      </c>
      <c r="N37" s="223">
        <v>-8</v>
      </c>
      <c r="O37" s="223">
        <v>-8</v>
      </c>
      <c r="P37" s="223">
        <v>-8</v>
      </c>
      <c r="Q37" s="223">
        <v>-8</v>
      </c>
      <c r="R37" s="223">
        <v>-8</v>
      </c>
      <c r="S37" s="223">
        <v>-8</v>
      </c>
      <c r="T37" s="223">
        <v>-8</v>
      </c>
      <c r="U37" s="223">
        <v>-8</v>
      </c>
      <c r="V37" s="223">
        <v>-8</v>
      </c>
      <c r="W37" s="223">
        <v>-8</v>
      </c>
      <c r="X37" s="223">
        <v>-8</v>
      </c>
      <c r="Y37" s="223">
        <v>-8</v>
      </c>
      <c r="Z37" s="223">
        <v>-8</v>
      </c>
      <c r="AA37" s="223">
        <v>-8</v>
      </c>
      <c r="AB37" s="223">
        <v>-8</v>
      </c>
      <c r="AC37" s="223">
        <v>-8</v>
      </c>
      <c r="AD37" s="223">
        <v>-8</v>
      </c>
      <c r="AE37" s="223">
        <v>-8</v>
      </c>
      <c r="AF37" s="223">
        <v>-8</v>
      </c>
      <c r="AG37" s="223">
        <v>-8</v>
      </c>
      <c r="AH37" s="223">
        <v>-8</v>
      </c>
      <c r="AI37" s="223">
        <v>-8</v>
      </c>
      <c r="AJ37" s="223">
        <v>-8</v>
      </c>
      <c r="AK37" s="223">
        <v>-8</v>
      </c>
      <c r="AL37" s="223">
        <v>-8</v>
      </c>
      <c r="AM37" s="223">
        <v>-8</v>
      </c>
      <c r="AN37" s="223">
        <v>-8</v>
      </c>
      <c r="AO37" s="223">
        <v>-8</v>
      </c>
      <c r="AP37" s="223">
        <v>-8</v>
      </c>
      <c r="AQ37" s="223">
        <v>-8</v>
      </c>
      <c r="AR37" s="223">
        <v>-8</v>
      </c>
      <c r="AS37" s="223">
        <v>-8</v>
      </c>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185"/>
      <c r="BP37" s="185"/>
      <c r="BQ37" s="185"/>
      <c r="BR37" s="185"/>
      <c r="BS37" s="185"/>
    </row>
    <row r="38" spans="1:71" x14ac:dyDescent="0.2">
      <c r="A38" s="174" t="s">
        <v>3536</v>
      </c>
      <c r="B38" s="204">
        <f>B37/0.45</f>
        <v>29.452683520346081</v>
      </c>
      <c r="E38" s="174">
        <v>29.25</v>
      </c>
      <c r="G38" s="185">
        <v>4</v>
      </c>
      <c r="H38" s="223">
        <v>-8</v>
      </c>
      <c r="I38" s="223">
        <v>-8</v>
      </c>
      <c r="J38" s="223">
        <v>-8</v>
      </c>
      <c r="K38" s="223">
        <v>-8</v>
      </c>
      <c r="L38" s="223">
        <v>-8</v>
      </c>
      <c r="M38" s="223">
        <v>-8</v>
      </c>
      <c r="N38" s="223">
        <v>-8</v>
      </c>
      <c r="O38" s="223">
        <v>-8</v>
      </c>
      <c r="P38" s="223">
        <v>-8</v>
      </c>
      <c r="Q38" s="223">
        <v>-8</v>
      </c>
      <c r="R38" s="223">
        <v>-8</v>
      </c>
      <c r="S38" s="223">
        <v>-8</v>
      </c>
      <c r="T38" s="223">
        <v>-8</v>
      </c>
      <c r="U38" s="223">
        <v>-8</v>
      </c>
      <c r="V38" s="223">
        <v>-8</v>
      </c>
      <c r="W38" s="223">
        <v>-8</v>
      </c>
      <c r="X38" s="223">
        <v>-8</v>
      </c>
      <c r="Y38" s="223">
        <v>-8</v>
      </c>
      <c r="Z38" s="223">
        <v>-8</v>
      </c>
      <c r="AA38" s="223">
        <v>-8</v>
      </c>
      <c r="AB38" s="223">
        <v>-8</v>
      </c>
      <c r="AC38" s="223">
        <v>-8</v>
      </c>
      <c r="AD38" s="223">
        <v>-8</v>
      </c>
      <c r="AE38" s="223">
        <v>-8</v>
      </c>
      <c r="AF38" s="223">
        <v>-8</v>
      </c>
      <c r="AG38" s="223">
        <v>-8</v>
      </c>
      <c r="AH38" s="223">
        <v>-8</v>
      </c>
      <c r="AI38" s="223">
        <v>-8</v>
      </c>
      <c r="AJ38" s="223">
        <v>-8</v>
      </c>
      <c r="AK38" s="223">
        <v>-8</v>
      </c>
      <c r="AL38" s="223">
        <v>-8</v>
      </c>
      <c r="AM38" s="223">
        <v>-8</v>
      </c>
      <c r="AN38" s="223">
        <v>-8</v>
      </c>
      <c r="AO38" s="223">
        <v>-8</v>
      </c>
      <c r="AP38" s="223">
        <v>-8</v>
      </c>
      <c r="AQ38" s="223">
        <v>-8</v>
      </c>
      <c r="AR38" s="223">
        <v>-8</v>
      </c>
      <c r="AS38" s="223">
        <v>-8</v>
      </c>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185"/>
      <c r="BP38" s="185"/>
      <c r="BQ38" s="185"/>
      <c r="BR38" s="185"/>
      <c r="BS38" s="185"/>
    </row>
    <row r="39" spans="1:71" x14ac:dyDescent="0.2">
      <c r="C39" s="204"/>
      <c r="D39" s="204"/>
      <c r="E39" s="204">
        <f>E38/120</f>
        <v>0.24374999999999999</v>
      </c>
      <c r="G39" s="185">
        <v>5</v>
      </c>
      <c r="H39" s="223">
        <v>-7</v>
      </c>
      <c r="I39" s="223">
        <v>-7</v>
      </c>
      <c r="J39" s="223">
        <v>-7</v>
      </c>
      <c r="K39" s="223">
        <v>-7</v>
      </c>
      <c r="L39" s="223">
        <v>-7</v>
      </c>
      <c r="M39" s="223">
        <v>-7</v>
      </c>
      <c r="N39" s="223">
        <v>-7</v>
      </c>
      <c r="O39" s="223">
        <v>-7</v>
      </c>
      <c r="P39" s="223">
        <v>-7</v>
      </c>
      <c r="Q39" s="223">
        <v>-7</v>
      </c>
      <c r="R39" s="223">
        <v>-7</v>
      </c>
      <c r="S39" s="223">
        <v>-7</v>
      </c>
      <c r="T39" s="223">
        <v>-7</v>
      </c>
      <c r="U39" s="223">
        <v>-7</v>
      </c>
      <c r="V39" s="223">
        <v>-7</v>
      </c>
      <c r="W39" s="223">
        <v>-7</v>
      </c>
      <c r="X39" s="223">
        <v>-7</v>
      </c>
      <c r="Y39" s="223">
        <v>-7</v>
      </c>
      <c r="Z39" s="223">
        <v>-7</v>
      </c>
      <c r="AA39" s="223">
        <v>-7</v>
      </c>
      <c r="AB39" s="223">
        <v>-7</v>
      </c>
      <c r="AC39" s="223">
        <v>-7</v>
      </c>
      <c r="AD39" s="223">
        <v>-7</v>
      </c>
      <c r="AE39" s="223">
        <v>-7</v>
      </c>
      <c r="AF39" s="223">
        <v>-7</v>
      </c>
      <c r="AG39" s="223">
        <v>-7</v>
      </c>
      <c r="AH39" s="223">
        <v>-7</v>
      </c>
      <c r="AI39" s="223">
        <v>-7</v>
      </c>
      <c r="AJ39" s="223">
        <v>-7</v>
      </c>
      <c r="AK39" s="223">
        <v>-7</v>
      </c>
      <c r="AL39" s="223">
        <v>-7</v>
      </c>
      <c r="AM39" s="223">
        <v>-7</v>
      </c>
      <c r="AN39" s="223">
        <v>-7</v>
      </c>
      <c r="AO39" s="223">
        <v>-7</v>
      </c>
      <c r="AP39" s="223">
        <v>-7</v>
      </c>
      <c r="AQ39" s="223">
        <v>-7</v>
      </c>
      <c r="AR39" s="223">
        <v>-7</v>
      </c>
      <c r="AS39" s="223">
        <v>-7</v>
      </c>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185"/>
      <c r="BP39" s="185"/>
      <c r="BQ39" s="185"/>
      <c r="BR39" s="185"/>
      <c r="BS39" s="185"/>
    </row>
    <row r="40" spans="1:71" x14ac:dyDescent="0.2">
      <c r="B40" s="204"/>
      <c r="G40" s="185">
        <v>6</v>
      </c>
      <c r="H40" s="223">
        <v>-7</v>
      </c>
      <c r="I40" s="223">
        <v>-7</v>
      </c>
      <c r="J40" s="223">
        <v>-7</v>
      </c>
      <c r="K40" s="223">
        <v>-7</v>
      </c>
      <c r="L40" s="223">
        <v>-7</v>
      </c>
      <c r="M40" s="223">
        <v>-7</v>
      </c>
      <c r="N40" s="223">
        <v>-7</v>
      </c>
      <c r="O40" s="223">
        <v>-7</v>
      </c>
      <c r="P40" s="223">
        <v>-7</v>
      </c>
      <c r="Q40" s="223">
        <v>-7</v>
      </c>
      <c r="R40" s="223">
        <v>-7</v>
      </c>
      <c r="S40" s="223">
        <v>-7</v>
      </c>
      <c r="T40" s="223">
        <v>-7</v>
      </c>
      <c r="U40" s="223">
        <v>-7</v>
      </c>
      <c r="V40" s="223">
        <v>-7</v>
      </c>
      <c r="W40" s="223">
        <v>-7</v>
      </c>
      <c r="X40" s="223">
        <v>-7</v>
      </c>
      <c r="Y40" s="223">
        <v>-7</v>
      </c>
      <c r="Z40" s="223">
        <v>-7</v>
      </c>
      <c r="AA40" s="223">
        <v>-7</v>
      </c>
      <c r="AB40" s="223">
        <v>-7</v>
      </c>
      <c r="AC40" s="223">
        <v>-7</v>
      </c>
      <c r="AD40" s="223">
        <v>-7</v>
      </c>
      <c r="AE40" s="223">
        <v>-7</v>
      </c>
      <c r="AF40" s="223">
        <v>-7</v>
      </c>
      <c r="AG40" s="223">
        <v>-7</v>
      </c>
      <c r="AH40" s="223">
        <v>-7</v>
      </c>
      <c r="AI40" s="223">
        <v>-7</v>
      </c>
      <c r="AJ40" s="223">
        <v>-7</v>
      </c>
      <c r="AK40" s="223">
        <v>-7</v>
      </c>
      <c r="AL40" s="223">
        <v>-7</v>
      </c>
      <c r="AM40" s="223">
        <v>-7</v>
      </c>
      <c r="AN40" s="223">
        <v>-7</v>
      </c>
      <c r="AO40" s="223">
        <v>-7</v>
      </c>
      <c r="AP40" s="223">
        <v>-7</v>
      </c>
      <c r="AQ40" s="223">
        <v>-7</v>
      </c>
      <c r="AR40" s="223">
        <v>-7</v>
      </c>
      <c r="AS40" s="223">
        <v>-7</v>
      </c>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185"/>
      <c r="BP40" s="185"/>
      <c r="BQ40" s="185"/>
      <c r="BR40" s="185"/>
      <c r="BS40" s="185"/>
    </row>
    <row r="41" spans="1:71" x14ac:dyDescent="0.2">
      <c r="G41" s="185">
        <v>7</v>
      </c>
      <c r="H41" s="223">
        <v>-7</v>
      </c>
      <c r="I41" s="223">
        <v>-7</v>
      </c>
      <c r="J41" s="223">
        <v>-7</v>
      </c>
      <c r="K41" s="223">
        <v>-7</v>
      </c>
      <c r="L41" s="223">
        <v>-7</v>
      </c>
      <c r="M41" s="223">
        <v>-7</v>
      </c>
      <c r="N41" s="223">
        <v>-7</v>
      </c>
      <c r="O41" s="223">
        <v>-7</v>
      </c>
      <c r="P41" s="223">
        <v>-7</v>
      </c>
      <c r="Q41" s="223">
        <v>-7</v>
      </c>
      <c r="R41" s="223">
        <v>-7</v>
      </c>
      <c r="S41" s="223">
        <v>-7</v>
      </c>
      <c r="T41" s="223">
        <v>-7</v>
      </c>
      <c r="U41" s="223">
        <v>-7</v>
      </c>
      <c r="V41" s="223">
        <v>-7</v>
      </c>
      <c r="W41" s="223">
        <v>-7</v>
      </c>
      <c r="X41" s="223">
        <v>-7</v>
      </c>
      <c r="Y41" s="223">
        <v>-7</v>
      </c>
      <c r="Z41" s="223">
        <v>-7</v>
      </c>
      <c r="AA41" s="223">
        <v>-7</v>
      </c>
      <c r="AB41" s="223">
        <v>-7</v>
      </c>
      <c r="AC41" s="223">
        <v>-7</v>
      </c>
      <c r="AD41" s="223">
        <v>-7</v>
      </c>
      <c r="AE41" s="223">
        <v>-7</v>
      </c>
      <c r="AF41" s="223">
        <v>-7</v>
      </c>
      <c r="AG41" s="223">
        <v>-7</v>
      </c>
      <c r="AH41" s="223">
        <v>-7</v>
      </c>
      <c r="AI41" s="223">
        <v>-7</v>
      </c>
      <c r="AJ41" s="223">
        <v>-7</v>
      </c>
      <c r="AK41" s="223">
        <v>-7</v>
      </c>
      <c r="AL41" s="223">
        <v>-7</v>
      </c>
      <c r="AM41" s="223">
        <v>-7</v>
      </c>
      <c r="AN41" s="223">
        <v>-7</v>
      </c>
      <c r="AO41" s="223">
        <v>-7</v>
      </c>
      <c r="AP41" s="223">
        <v>-7</v>
      </c>
      <c r="AQ41" s="223">
        <v>-7</v>
      </c>
      <c r="AR41" s="223">
        <v>-7</v>
      </c>
      <c r="AS41" s="223">
        <v>-7</v>
      </c>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185"/>
      <c r="BP41" s="185"/>
      <c r="BQ41" s="185"/>
      <c r="BR41" s="185"/>
      <c r="BS41" s="185"/>
    </row>
    <row r="42" spans="1:71" x14ac:dyDescent="0.2">
      <c r="B42" s="182" t="s">
        <v>3543</v>
      </c>
      <c r="C42" s="182">
        <f>VLOOKUP(Stats!$B$2,$B$44:$C$108,2,FALSE)</f>
        <v>14</v>
      </c>
      <c r="D42" s="226" t="s">
        <v>3544</v>
      </c>
      <c r="E42" s="226" t="s">
        <v>375</v>
      </c>
      <c r="G42" s="185">
        <v>8</v>
      </c>
      <c r="H42" s="223">
        <v>-6</v>
      </c>
      <c r="I42" s="223">
        <v>-6</v>
      </c>
      <c r="J42" s="223">
        <v>-6</v>
      </c>
      <c r="K42" s="223">
        <v>-6</v>
      </c>
      <c r="L42" s="223">
        <v>-6</v>
      </c>
      <c r="M42" s="223">
        <v>-6</v>
      </c>
      <c r="N42" s="223">
        <v>-6</v>
      </c>
      <c r="O42" s="223">
        <v>-6</v>
      </c>
      <c r="P42" s="223">
        <v>-6</v>
      </c>
      <c r="Q42" s="223">
        <v>-6</v>
      </c>
      <c r="R42" s="223">
        <v>-6</v>
      </c>
      <c r="S42" s="223">
        <v>-6</v>
      </c>
      <c r="T42" s="223">
        <v>-6</v>
      </c>
      <c r="U42" s="223">
        <v>-6</v>
      </c>
      <c r="V42" s="223">
        <v>-6</v>
      </c>
      <c r="W42" s="223">
        <v>-6</v>
      </c>
      <c r="X42" s="223">
        <v>-6</v>
      </c>
      <c r="Y42" s="223">
        <v>-6</v>
      </c>
      <c r="Z42" s="223">
        <v>-6</v>
      </c>
      <c r="AA42" s="223">
        <v>-6</v>
      </c>
      <c r="AB42" s="223">
        <v>-6</v>
      </c>
      <c r="AC42" s="223">
        <v>-6</v>
      </c>
      <c r="AD42" s="223">
        <v>-6</v>
      </c>
      <c r="AE42" s="223">
        <v>-6</v>
      </c>
      <c r="AF42" s="223">
        <v>-6</v>
      </c>
      <c r="AG42" s="223">
        <v>-6</v>
      </c>
      <c r="AH42" s="223">
        <v>-6</v>
      </c>
      <c r="AI42" s="223">
        <v>-6</v>
      </c>
      <c r="AJ42" s="223">
        <v>-6</v>
      </c>
      <c r="AK42" s="223">
        <v>-6</v>
      </c>
      <c r="AL42" s="223">
        <v>-6</v>
      </c>
      <c r="AM42" s="223">
        <v>-6</v>
      </c>
      <c r="AN42" s="223">
        <v>-6</v>
      </c>
      <c r="AO42" s="223">
        <v>-6</v>
      </c>
      <c r="AP42" s="223">
        <v>-6</v>
      </c>
      <c r="AQ42" s="223">
        <v>-6</v>
      </c>
      <c r="AR42" s="223">
        <v>-6</v>
      </c>
      <c r="AS42" s="223">
        <v>-6</v>
      </c>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185"/>
      <c r="BP42" s="185"/>
      <c r="BQ42" s="185"/>
      <c r="BR42" s="185"/>
      <c r="BS42" s="185"/>
    </row>
    <row r="43" spans="1:71" x14ac:dyDescent="0.2">
      <c r="A43" s="226" t="s">
        <v>3543</v>
      </c>
      <c r="B43" s="226" t="s">
        <v>3545</v>
      </c>
      <c r="C43" s="226" t="s">
        <v>3546</v>
      </c>
      <c r="D43" s="226" t="s">
        <v>375</v>
      </c>
      <c r="E43" s="226" t="s">
        <v>3547</v>
      </c>
      <c r="G43" s="185">
        <v>9</v>
      </c>
      <c r="H43" s="223">
        <v>-6</v>
      </c>
      <c r="I43" s="223">
        <v>-6</v>
      </c>
      <c r="J43" s="223">
        <v>-6</v>
      </c>
      <c r="K43" s="223">
        <v>-6</v>
      </c>
      <c r="L43" s="223">
        <v>-6</v>
      </c>
      <c r="M43" s="223">
        <v>-6</v>
      </c>
      <c r="N43" s="223">
        <v>-6</v>
      </c>
      <c r="O43" s="223">
        <v>-6</v>
      </c>
      <c r="P43" s="223">
        <v>-6</v>
      </c>
      <c r="Q43" s="223">
        <v>-6</v>
      </c>
      <c r="R43" s="223">
        <v>-6</v>
      </c>
      <c r="S43" s="223">
        <v>-6</v>
      </c>
      <c r="T43" s="223">
        <v>-6</v>
      </c>
      <c r="U43" s="223">
        <v>-6</v>
      </c>
      <c r="V43" s="223">
        <v>-6</v>
      </c>
      <c r="W43" s="223">
        <v>-6</v>
      </c>
      <c r="X43" s="223">
        <v>-6</v>
      </c>
      <c r="Y43" s="223">
        <v>-6</v>
      </c>
      <c r="Z43" s="223">
        <v>-6</v>
      </c>
      <c r="AA43" s="223">
        <v>-6</v>
      </c>
      <c r="AB43" s="223">
        <v>-6</v>
      </c>
      <c r="AC43" s="223">
        <v>-6</v>
      </c>
      <c r="AD43" s="223">
        <v>-6</v>
      </c>
      <c r="AE43" s="223">
        <v>-6</v>
      </c>
      <c r="AF43" s="223">
        <v>-6</v>
      </c>
      <c r="AG43" s="223">
        <v>-6</v>
      </c>
      <c r="AH43" s="223">
        <v>-6</v>
      </c>
      <c r="AI43" s="223">
        <v>-6</v>
      </c>
      <c r="AJ43" s="223">
        <v>-6</v>
      </c>
      <c r="AK43" s="223">
        <v>-6</v>
      </c>
      <c r="AL43" s="223">
        <v>-6</v>
      </c>
      <c r="AM43" s="223">
        <v>-6</v>
      </c>
      <c r="AN43" s="223">
        <v>-6</v>
      </c>
      <c r="AO43" s="223">
        <v>-6</v>
      </c>
      <c r="AP43" s="223">
        <v>-6</v>
      </c>
      <c r="AQ43" s="223">
        <v>-6</v>
      </c>
      <c r="AR43" s="223">
        <v>-6</v>
      </c>
      <c r="AS43" s="223">
        <v>-6</v>
      </c>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185"/>
      <c r="BP43" s="185"/>
      <c r="BQ43" s="185"/>
      <c r="BR43" s="185"/>
      <c r="BS43" s="185"/>
    </row>
    <row r="44" spans="1:71" x14ac:dyDescent="0.2">
      <c r="B44" s="268" t="s">
        <v>4181</v>
      </c>
      <c r="C44" s="174">
        <f>HLOOKUP(B44,$H$2:$AS$3,2,FALSE)</f>
        <v>2</v>
      </c>
      <c r="D44" s="204">
        <f>HLOOKUP(B44,$H$33:$AS$152,116,FALSE)</f>
        <v>39.103232533889468</v>
      </c>
      <c r="E44" s="204">
        <f>HLOOKUP(B44,$H$33:$AS$152,120,FALSE)</f>
        <v>0.99322210636078978</v>
      </c>
      <c r="G44" s="185">
        <v>10</v>
      </c>
      <c r="H44" s="223">
        <v>-6</v>
      </c>
      <c r="I44" s="223">
        <v>-6</v>
      </c>
      <c r="J44" s="223">
        <v>-6</v>
      </c>
      <c r="K44" s="223">
        <v>-6</v>
      </c>
      <c r="L44" s="223">
        <v>-6</v>
      </c>
      <c r="M44" s="223">
        <v>-6</v>
      </c>
      <c r="N44" s="223">
        <v>-6</v>
      </c>
      <c r="O44" s="223">
        <v>-6</v>
      </c>
      <c r="P44" s="223">
        <v>-6</v>
      </c>
      <c r="Q44" s="223">
        <v>-6</v>
      </c>
      <c r="R44" s="223">
        <v>-6</v>
      </c>
      <c r="S44" s="223">
        <v>-6</v>
      </c>
      <c r="T44" s="223">
        <v>-6</v>
      </c>
      <c r="U44" s="223">
        <v>-6</v>
      </c>
      <c r="V44" s="223">
        <v>-6</v>
      </c>
      <c r="W44" s="223">
        <v>-6</v>
      </c>
      <c r="X44" s="223">
        <v>-6</v>
      </c>
      <c r="Y44" s="223">
        <v>-6</v>
      </c>
      <c r="Z44" s="223">
        <v>-6</v>
      </c>
      <c r="AA44" s="223">
        <v>-6</v>
      </c>
      <c r="AB44" s="223">
        <v>-6</v>
      </c>
      <c r="AC44" s="223">
        <v>-6</v>
      </c>
      <c r="AD44" s="223">
        <v>-6</v>
      </c>
      <c r="AE44" s="223">
        <v>-6</v>
      </c>
      <c r="AF44" s="223">
        <v>-6</v>
      </c>
      <c r="AG44" s="223">
        <v>-6</v>
      </c>
      <c r="AH44" s="223">
        <v>-6</v>
      </c>
      <c r="AI44" s="223">
        <v>-6</v>
      </c>
      <c r="AJ44" s="223">
        <v>-6</v>
      </c>
      <c r="AK44" s="223">
        <v>-6</v>
      </c>
      <c r="AL44" s="223">
        <v>-6</v>
      </c>
      <c r="AM44" s="223">
        <v>-6</v>
      </c>
      <c r="AN44" s="223">
        <v>-6</v>
      </c>
      <c r="AO44" s="223">
        <v>-6</v>
      </c>
      <c r="AP44" s="223">
        <v>-6</v>
      </c>
      <c r="AQ44" s="223">
        <v>-6</v>
      </c>
      <c r="AR44" s="223">
        <v>-6</v>
      </c>
      <c r="AS44" s="223">
        <v>-6</v>
      </c>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185"/>
      <c r="BP44" s="185"/>
      <c r="BQ44" s="185"/>
      <c r="BR44" s="185"/>
      <c r="BS44" s="185"/>
    </row>
    <row r="45" spans="1:71" x14ac:dyDescent="0.2">
      <c r="B45" s="268" t="s">
        <v>4381</v>
      </c>
      <c r="C45" s="174">
        <f t="shared" ref="C45:C81" si="57">HLOOKUP(B45,$H$2:$AS$3,2,FALSE)</f>
        <v>3</v>
      </c>
      <c r="D45" s="204">
        <f t="shared" ref="D45:D81" si="58">HLOOKUP(B45,$H$33:$AS$152,116,FALSE)</f>
        <v>42.211328976034856</v>
      </c>
      <c r="E45" s="204">
        <f t="shared" ref="E45:E81" si="59">HLOOKUP(B45,$H$33:$AS$152,120,FALSE)</f>
        <v>1.0721677559912877</v>
      </c>
      <c r="G45" s="185">
        <v>11</v>
      </c>
      <c r="H45" s="223">
        <v>-5</v>
      </c>
      <c r="I45" s="223">
        <v>-5</v>
      </c>
      <c r="J45" s="223">
        <v>-5</v>
      </c>
      <c r="K45" s="223">
        <v>-5</v>
      </c>
      <c r="L45" s="223">
        <v>-5</v>
      </c>
      <c r="M45" s="223">
        <v>-5</v>
      </c>
      <c r="N45" s="223">
        <v>-5</v>
      </c>
      <c r="O45" s="223">
        <v>-5</v>
      </c>
      <c r="P45" s="223">
        <v>-5</v>
      </c>
      <c r="Q45" s="223">
        <v>-5</v>
      </c>
      <c r="R45" s="223">
        <v>-5</v>
      </c>
      <c r="S45" s="223">
        <v>-5</v>
      </c>
      <c r="T45" s="223">
        <v>-5</v>
      </c>
      <c r="U45" s="223">
        <v>-5</v>
      </c>
      <c r="V45" s="223">
        <v>-5</v>
      </c>
      <c r="W45" s="223">
        <v>-5</v>
      </c>
      <c r="X45" s="223">
        <v>-5</v>
      </c>
      <c r="Y45" s="223">
        <v>-5</v>
      </c>
      <c r="Z45" s="223">
        <v>-5</v>
      </c>
      <c r="AA45" s="223">
        <v>-5</v>
      </c>
      <c r="AB45" s="223">
        <v>-5</v>
      </c>
      <c r="AC45" s="223">
        <v>-5</v>
      </c>
      <c r="AD45" s="223">
        <v>-5</v>
      </c>
      <c r="AE45" s="223">
        <v>-5</v>
      </c>
      <c r="AF45" s="223">
        <v>-5</v>
      </c>
      <c r="AG45" s="223">
        <v>-5</v>
      </c>
      <c r="AH45" s="223">
        <v>-5</v>
      </c>
      <c r="AI45" s="223">
        <v>-5</v>
      </c>
      <c r="AJ45" s="223">
        <v>-5</v>
      </c>
      <c r="AK45" s="223">
        <v>-5</v>
      </c>
      <c r="AL45" s="223">
        <v>-5</v>
      </c>
      <c r="AM45" s="223">
        <v>-5</v>
      </c>
      <c r="AN45" s="223">
        <v>-5</v>
      </c>
      <c r="AO45" s="223">
        <v>-5</v>
      </c>
      <c r="AP45" s="223">
        <v>-5</v>
      </c>
      <c r="AQ45" s="223">
        <v>-5</v>
      </c>
      <c r="AR45" s="223">
        <v>-5</v>
      </c>
      <c r="AS45" s="223">
        <v>-5</v>
      </c>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185"/>
      <c r="BP45" s="185"/>
      <c r="BQ45" s="185"/>
      <c r="BR45" s="185"/>
      <c r="BS45" s="185"/>
    </row>
    <row r="46" spans="1:71" x14ac:dyDescent="0.2">
      <c r="B46" s="268" t="s">
        <v>4197</v>
      </c>
      <c r="C46" s="174">
        <f t="shared" si="57"/>
        <v>4</v>
      </c>
      <c r="D46" s="204">
        <f t="shared" si="58"/>
        <v>47.557538750587128</v>
      </c>
      <c r="E46" s="204">
        <f t="shared" si="59"/>
        <v>1.2079614842649136</v>
      </c>
      <c r="G46" s="185">
        <v>12</v>
      </c>
      <c r="H46" s="223">
        <v>-5</v>
      </c>
      <c r="I46" s="223">
        <v>-5</v>
      </c>
      <c r="J46" s="223">
        <v>-5</v>
      </c>
      <c r="K46" s="223">
        <v>-5</v>
      </c>
      <c r="L46" s="223">
        <v>-5</v>
      </c>
      <c r="M46" s="223">
        <v>-5</v>
      </c>
      <c r="N46" s="223">
        <v>-5</v>
      </c>
      <c r="O46" s="223">
        <v>-5</v>
      </c>
      <c r="P46" s="223">
        <v>-5</v>
      </c>
      <c r="Q46" s="223">
        <v>-5</v>
      </c>
      <c r="R46" s="223">
        <v>-5</v>
      </c>
      <c r="S46" s="223">
        <v>-5</v>
      </c>
      <c r="T46" s="223">
        <v>-5</v>
      </c>
      <c r="U46" s="223">
        <v>-5</v>
      </c>
      <c r="V46" s="223">
        <v>-5</v>
      </c>
      <c r="W46" s="223">
        <v>-5</v>
      </c>
      <c r="X46" s="223">
        <v>-5</v>
      </c>
      <c r="Y46" s="223">
        <v>-5</v>
      </c>
      <c r="Z46" s="223">
        <v>-5</v>
      </c>
      <c r="AA46" s="223">
        <v>-5</v>
      </c>
      <c r="AB46" s="223">
        <v>-5</v>
      </c>
      <c r="AC46" s="223">
        <v>-5</v>
      </c>
      <c r="AD46" s="223">
        <v>-5</v>
      </c>
      <c r="AE46" s="223">
        <v>-5</v>
      </c>
      <c r="AF46" s="223">
        <v>-5</v>
      </c>
      <c r="AG46" s="223">
        <v>-5</v>
      </c>
      <c r="AH46" s="223">
        <v>-5</v>
      </c>
      <c r="AI46" s="223">
        <v>-5</v>
      </c>
      <c r="AJ46" s="223">
        <v>-5</v>
      </c>
      <c r="AK46" s="223">
        <v>-5</v>
      </c>
      <c r="AL46" s="223">
        <v>-5</v>
      </c>
      <c r="AM46" s="223">
        <v>-5</v>
      </c>
      <c r="AN46" s="223">
        <v>-5</v>
      </c>
      <c r="AO46" s="223">
        <v>-5</v>
      </c>
      <c r="AP46" s="223">
        <v>-5</v>
      </c>
      <c r="AQ46" s="223">
        <v>-5</v>
      </c>
      <c r="AR46" s="223">
        <v>-5</v>
      </c>
      <c r="AS46" s="223">
        <v>-5</v>
      </c>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185"/>
      <c r="BP46" s="185"/>
      <c r="BQ46" s="185"/>
      <c r="BR46" s="185"/>
      <c r="BS46" s="185"/>
    </row>
    <row r="47" spans="1:71" x14ac:dyDescent="0.2">
      <c r="B47" s="268" t="s">
        <v>4187</v>
      </c>
      <c r="C47" s="174">
        <f t="shared" si="57"/>
        <v>5</v>
      </c>
      <c r="D47" s="204">
        <f t="shared" si="58"/>
        <v>46.936464417689834</v>
      </c>
      <c r="E47" s="204">
        <f t="shared" si="59"/>
        <v>1.1921861962093203</v>
      </c>
      <c r="G47" s="185">
        <v>13</v>
      </c>
      <c r="H47" s="223">
        <v>-5</v>
      </c>
      <c r="I47" s="223">
        <v>-5</v>
      </c>
      <c r="J47" s="223">
        <v>-5</v>
      </c>
      <c r="K47" s="223">
        <v>-5</v>
      </c>
      <c r="L47" s="223">
        <v>-5</v>
      </c>
      <c r="M47" s="223">
        <v>-5</v>
      </c>
      <c r="N47" s="223">
        <v>-5</v>
      </c>
      <c r="O47" s="223">
        <v>-5</v>
      </c>
      <c r="P47" s="223">
        <v>-5</v>
      </c>
      <c r="Q47" s="223">
        <v>-5</v>
      </c>
      <c r="R47" s="223">
        <v>-5</v>
      </c>
      <c r="S47" s="223">
        <v>-5</v>
      </c>
      <c r="T47" s="223">
        <v>-5</v>
      </c>
      <c r="U47" s="223">
        <v>-5</v>
      </c>
      <c r="V47" s="223">
        <v>-5</v>
      </c>
      <c r="W47" s="223">
        <v>-5</v>
      </c>
      <c r="X47" s="223">
        <v>-5</v>
      </c>
      <c r="Y47" s="223">
        <v>-5</v>
      </c>
      <c r="Z47" s="223">
        <v>-5</v>
      </c>
      <c r="AA47" s="223">
        <v>-5</v>
      </c>
      <c r="AB47" s="223">
        <v>-5</v>
      </c>
      <c r="AC47" s="223">
        <v>-5</v>
      </c>
      <c r="AD47" s="223">
        <v>-5</v>
      </c>
      <c r="AE47" s="223">
        <v>-5</v>
      </c>
      <c r="AF47" s="223">
        <v>-5</v>
      </c>
      <c r="AG47" s="223">
        <v>-5</v>
      </c>
      <c r="AH47" s="223">
        <v>-5</v>
      </c>
      <c r="AI47" s="223">
        <v>-5</v>
      </c>
      <c r="AJ47" s="223">
        <v>-5</v>
      </c>
      <c r="AK47" s="223">
        <v>-5</v>
      </c>
      <c r="AL47" s="223">
        <v>-5</v>
      </c>
      <c r="AM47" s="223">
        <v>-5</v>
      </c>
      <c r="AN47" s="223">
        <v>-5</v>
      </c>
      <c r="AO47" s="223">
        <v>-5</v>
      </c>
      <c r="AP47" s="223">
        <v>-5</v>
      </c>
      <c r="AQ47" s="223">
        <v>-5</v>
      </c>
      <c r="AR47" s="223">
        <v>-5</v>
      </c>
      <c r="AS47" s="223">
        <v>-5</v>
      </c>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185"/>
      <c r="BP47" s="185"/>
      <c r="BQ47" s="185"/>
      <c r="BR47" s="185"/>
      <c r="BS47" s="185"/>
    </row>
    <row r="48" spans="1:71" x14ac:dyDescent="0.2">
      <c r="B48" s="268" t="s">
        <v>4188</v>
      </c>
      <c r="C48" s="174">
        <f t="shared" si="57"/>
        <v>6</v>
      </c>
      <c r="D48" s="204">
        <f t="shared" si="58"/>
        <v>46.272158498435871</v>
      </c>
      <c r="E48" s="204">
        <f t="shared" si="59"/>
        <v>1.1753128258602743</v>
      </c>
      <c r="G48" s="185">
        <v>14</v>
      </c>
      <c r="H48" s="223">
        <v>-5</v>
      </c>
      <c r="I48" s="223">
        <v>-5</v>
      </c>
      <c r="J48" s="223">
        <v>-5</v>
      </c>
      <c r="K48" s="223">
        <v>-5</v>
      </c>
      <c r="L48" s="223">
        <v>-5</v>
      </c>
      <c r="M48" s="223">
        <v>-5</v>
      </c>
      <c r="N48" s="223">
        <v>-5</v>
      </c>
      <c r="O48" s="223">
        <v>-5</v>
      </c>
      <c r="P48" s="223">
        <v>-5</v>
      </c>
      <c r="Q48" s="223">
        <v>-5</v>
      </c>
      <c r="R48" s="223">
        <v>-5</v>
      </c>
      <c r="S48" s="223">
        <v>-5</v>
      </c>
      <c r="T48" s="223">
        <v>-5</v>
      </c>
      <c r="U48" s="223">
        <v>-5</v>
      </c>
      <c r="V48" s="223">
        <v>-5</v>
      </c>
      <c r="W48" s="223">
        <v>-5</v>
      </c>
      <c r="X48" s="223">
        <v>-5</v>
      </c>
      <c r="Y48" s="223">
        <v>-5</v>
      </c>
      <c r="Z48" s="223">
        <v>-5</v>
      </c>
      <c r="AA48" s="223">
        <v>-5</v>
      </c>
      <c r="AB48" s="223">
        <v>-5</v>
      </c>
      <c r="AC48" s="223">
        <v>-5</v>
      </c>
      <c r="AD48" s="223">
        <v>-5</v>
      </c>
      <c r="AE48" s="223">
        <v>-5</v>
      </c>
      <c r="AF48" s="223">
        <v>-5</v>
      </c>
      <c r="AG48" s="223">
        <v>-5</v>
      </c>
      <c r="AH48" s="223">
        <v>-5</v>
      </c>
      <c r="AI48" s="223">
        <v>-5</v>
      </c>
      <c r="AJ48" s="223">
        <v>-5</v>
      </c>
      <c r="AK48" s="223">
        <v>-5</v>
      </c>
      <c r="AL48" s="223">
        <v>-5</v>
      </c>
      <c r="AM48" s="223">
        <v>-5</v>
      </c>
      <c r="AN48" s="223">
        <v>-5</v>
      </c>
      <c r="AO48" s="223">
        <v>-5</v>
      </c>
      <c r="AP48" s="223">
        <v>-5</v>
      </c>
      <c r="AQ48" s="223">
        <v>-5</v>
      </c>
      <c r="AR48" s="223">
        <v>-5</v>
      </c>
      <c r="AS48" s="223">
        <v>-5</v>
      </c>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185"/>
      <c r="BP48" s="185"/>
      <c r="BQ48" s="185"/>
      <c r="BR48" s="185"/>
      <c r="BS48" s="185"/>
    </row>
    <row r="49" spans="2:71" x14ac:dyDescent="0.2">
      <c r="B49" s="268" t="s">
        <v>913</v>
      </c>
      <c r="C49" s="174">
        <f t="shared" si="57"/>
        <v>7</v>
      </c>
      <c r="D49" s="204">
        <f t="shared" si="58"/>
        <v>62.78508183525625</v>
      </c>
      <c r="E49" s="204">
        <f t="shared" si="59"/>
        <v>1.5947410786155132</v>
      </c>
      <c r="G49" s="185">
        <v>15</v>
      </c>
      <c r="H49" s="223">
        <v>-4</v>
      </c>
      <c r="I49" s="223">
        <v>-4</v>
      </c>
      <c r="J49" s="223">
        <v>-4</v>
      </c>
      <c r="K49" s="223">
        <v>-4</v>
      </c>
      <c r="L49" s="223">
        <v>-4</v>
      </c>
      <c r="M49" s="223">
        <v>-4</v>
      </c>
      <c r="N49" s="223">
        <v>-4</v>
      </c>
      <c r="O49" s="223">
        <v>-4</v>
      </c>
      <c r="P49" s="223">
        <v>-4</v>
      </c>
      <c r="Q49" s="223">
        <v>-4</v>
      </c>
      <c r="R49" s="223">
        <v>-4</v>
      </c>
      <c r="S49" s="223">
        <v>-4</v>
      </c>
      <c r="T49" s="223">
        <v>-4</v>
      </c>
      <c r="U49" s="223">
        <v>-4</v>
      </c>
      <c r="V49" s="223">
        <v>-4</v>
      </c>
      <c r="W49" s="223">
        <v>-4</v>
      </c>
      <c r="X49" s="223">
        <v>-4</v>
      </c>
      <c r="Y49" s="223">
        <v>-4</v>
      </c>
      <c r="Z49" s="223">
        <v>-4</v>
      </c>
      <c r="AA49" s="223">
        <v>-4</v>
      </c>
      <c r="AB49" s="223">
        <v>-4</v>
      </c>
      <c r="AC49" s="223">
        <v>-4</v>
      </c>
      <c r="AD49" s="223">
        <v>-4</v>
      </c>
      <c r="AE49" s="223">
        <v>-4</v>
      </c>
      <c r="AF49" s="223">
        <v>-4</v>
      </c>
      <c r="AG49" s="223">
        <v>-4</v>
      </c>
      <c r="AH49" s="223">
        <v>-4</v>
      </c>
      <c r="AI49" s="223">
        <v>-4</v>
      </c>
      <c r="AJ49" s="223">
        <v>-4</v>
      </c>
      <c r="AK49" s="223">
        <v>-4</v>
      </c>
      <c r="AL49" s="223">
        <v>-4</v>
      </c>
      <c r="AM49" s="223">
        <v>-4</v>
      </c>
      <c r="AN49" s="223">
        <v>-4</v>
      </c>
      <c r="AO49" s="223">
        <v>-4</v>
      </c>
      <c r="AP49" s="223">
        <v>-4</v>
      </c>
      <c r="AQ49" s="223">
        <v>-4</v>
      </c>
      <c r="AR49" s="223">
        <v>-4</v>
      </c>
      <c r="AS49" s="223">
        <v>-4</v>
      </c>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185"/>
      <c r="BP49" s="185"/>
      <c r="BQ49" s="185"/>
      <c r="BR49" s="185"/>
      <c r="BS49" s="185"/>
    </row>
    <row r="50" spans="2:71" x14ac:dyDescent="0.2">
      <c r="B50" s="268" t="s">
        <v>4195</v>
      </c>
      <c r="C50" s="174">
        <f t="shared" si="57"/>
        <v>8</v>
      </c>
      <c r="D50" s="204">
        <f t="shared" si="58"/>
        <v>44.9154532644434</v>
      </c>
      <c r="E50" s="204">
        <f t="shared" si="59"/>
        <v>1.1408525129168652</v>
      </c>
      <c r="G50" s="185">
        <v>16</v>
      </c>
      <c r="H50" s="223">
        <v>-4</v>
      </c>
      <c r="I50" s="223">
        <v>-4</v>
      </c>
      <c r="J50" s="223">
        <v>-4</v>
      </c>
      <c r="K50" s="223">
        <v>-4</v>
      </c>
      <c r="L50" s="223">
        <v>-4</v>
      </c>
      <c r="M50" s="223">
        <v>-4</v>
      </c>
      <c r="N50" s="223">
        <v>-4</v>
      </c>
      <c r="O50" s="223">
        <v>-4</v>
      </c>
      <c r="P50" s="223">
        <v>-4</v>
      </c>
      <c r="Q50" s="223">
        <v>-4</v>
      </c>
      <c r="R50" s="223">
        <v>-4</v>
      </c>
      <c r="S50" s="223">
        <v>-4</v>
      </c>
      <c r="T50" s="223">
        <v>-4</v>
      </c>
      <c r="U50" s="223">
        <v>-4</v>
      </c>
      <c r="V50" s="223">
        <v>-4</v>
      </c>
      <c r="W50" s="223">
        <v>-4</v>
      </c>
      <c r="X50" s="223">
        <v>-4</v>
      </c>
      <c r="Y50" s="223">
        <v>-4</v>
      </c>
      <c r="Z50" s="223">
        <v>-4</v>
      </c>
      <c r="AA50" s="223">
        <v>-4</v>
      </c>
      <c r="AB50" s="223">
        <v>-4</v>
      </c>
      <c r="AC50" s="223">
        <v>-4</v>
      </c>
      <c r="AD50" s="223">
        <v>-4</v>
      </c>
      <c r="AE50" s="223">
        <v>-4</v>
      </c>
      <c r="AF50" s="223">
        <v>-4</v>
      </c>
      <c r="AG50" s="223">
        <v>-4</v>
      </c>
      <c r="AH50" s="223">
        <v>-4</v>
      </c>
      <c r="AI50" s="223">
        <v>-4</v>
      </c>
      <c r="AJ50" s="223">
        <v>-4</v>
      </c>
      <c r="AK50" s="223">
        <v>-4</v>
      </c>
      <c r="AL50" s="223">
        <v>-4</v>
      </c>
      <c r="AM50" s="223">
        <v>-4</v>
      </c>
      <c r="AN50" s="223">
        <v>-4</v>
      </c>
      <c r="AO50" s="223">
        <v>-4</v>
      </c>
      <c r="AP50" s="223">
        <v>-4</v>
      </c>
      <c r="AQ50" s="223">
        <v>-4</v>
      </c>
      <c r="AR50" s="223">
        <v>-4</v>
      </c>
      <c r="AS50" s="223">
        <v>-4</v>
      </c>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185"/>
      <c r="BP50" s="185"/>
      <c r="BQ50" s="185"/>
      <c r="BR50" s="185"/>
      <c r="BS50" s="185"/>
    </row>
    <row r="51" spans="2:71" x14ac:dyDescent="0.2">
      <c r="B51" s="268" t="s">
        <v>4183</v>
      </c>
      <c r="C51" s="174">
        <f t="shared" si="57"/>
        <v>9</v>
      </c>
      <c r="D51" s="204">
        <f t="shared" si="58"/>
        <v>19.591272280270438</v>
      </c>
      <c r="E51" s="204">
        <f t="shared" si="59"/>
        <v>0.49761831591887074</v>
      </c>
      <c r="G51" s="185">
        <v>17</v>
      </c>
      <c r="H51" s="223">
        <v>-4</v>
      </c>
      <c r="I51" s="223">
        <v>-4</v>
      </c>
      <c r="J51" s="223">
        <v>-4</v>
      </c>
      <c r="K51" s="223">
        <v>-4</v>
      </c>
      <c r="L51" s="223">
        <v>-4</v>
      </c>
      <c r="M51" s="223">
        <v>-4</v>
      </c>
      <c r="N51" s="223">
        <v>-4</v>
      </c>
      <c r="O51" s="223">
        <v>-4</v>
      </c>
      <c r="P51" s="223">
        <v>-4</v>
      </c>
      <c r="Q51" s="223">
        <v>-4</v>
      </c>
      <c r="R51" s="223">
        <v>-4</v>
      </c>
      <c r="S51" s="223">
        <v>-4</v>
      </c>
      <c r="T51" s="223">
        <v>-4</v>
      </c>
      <c r="U51" s="223">
        <v>-4</v>
      </c>
      <c r="V51" s="223">
        <v>-4</v>
      </c>
      <c r="W51" s="223">
        <v>-4</v>
      </c>
      <c r="X51" s="223">
        <v>-4</v>
      </c>
      <c r="Y51" s="223">
        <v>-4</v>
      </c>
      <c r="Z51" s="223">
        <v>-4</v>
      </c>
      <c r="AA51" s="223">
        <v>-4</v>
      </c>
      <c r="AB51" s="223">
        <v>-4</v>
      </c>
      <c r="AC51" s="223">
        <v>-4</v>
      </c>
      <c r="AD51" s="223">
        <v>-4</v>
      </c>
      <c r="AE51" s="223">
        <v>-4</v>
      </c>
      <c r="AF51" s="223">
        <v>-4</v>
      </c>
      <c r="AG51" s="223">
        <v>-4</v>
      </c>
      <c r="AH51" s="223">
        <v>-4</v>
      </c>
      <c r="AI51" s="223">
        <v>-4</v>
      </c>
      <c r="AJ51" s="223">
        <v>-4</v>
      </c>
      <c r="AK51" s="223">
        <v>-4</v>
      </c>
      <c r="AL51" s="223">
        <v>-4</v>
      </c>
      <c r="AM51" s="223">
        <v>-4</v>
      </c>
      <c r="AN51" s="223">
        <v>-4</v>
      </c>
      <c r="AO51" s="223">
        <v>-4</v>
      </c>
      <c r="AP51" s="223">
        <v>-4</v>
      </c>
      <c r="AQ51" s="223">
        <v>-4</v>
      </c>
      <c r="AR51" s="223">
        <v>-4</v>
      </c>
      <c r="AS51" s="223">
        <v>-4</v>
      </c>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185"/>
      <c r="BP51" s="185"/>
      <c r="BQ51" s="185"/>
      <c r="BR51" s="185"/>
      <c r="BS51" s="185"/>
    </row>
    <row r="52" spans="2:71" x14ac:dyDescent="0.2">
      <c r="B52" s="268" t="s">
        <v>4193</v>
      </c>
      <c r="C52" s="174">
        <f t="shared" si="57"/>
        <v>10</v>
      </c>
      <c r="D52" s="204">
        <f t="shared" si="58"/>
        <v>63.051375194603018</v>
      </c>
      <c r="E52" s="204">
        <f t="shared" si="59"/>
        <v>1.6015049299429336</v>
      </c>
      <c r="G52" s="185">
        <v>18</v>
      </c>
      <c r="H52" s="223">
        <v>-4</v>
      </c>
      <c r="I52" s="223">
        <v>-4</v>
      </c>
      <c r="J52" s="223">
        <v>-4</v>
      </c>
      <c r="K52" s="223">
        <v>-4</v>
      </c>
      <c r="L52" s="223">
        <v>-4</v>
      </c>
      <c r="M52" s="223">
        <v>-4</v>
      </c>
      <c r="N52" s="223">
        <v>-4</v>
      </c>
      <c r="O52" s="223">
        <v>-4</v>
      </c>
      <c r="P52" s="223">
        <v>-4</v>
      </c>
      <c r="Q52" s="223">
        <v>-4</v>
      </c>
      <c r="R52" s="223">
        <v>-4</v>
      </c>
      <c r="S52" s="223">
        <v>-4</v>
      </c>
      <c r="T52" s="223">
        <v>-4</v>
      </c>
      <c r="U52" s="223">
        <v>-4</v>
      </c>
      <c r="V52" s="223">
        <v>-4</v>
      </c>
      <c r="W52" s="223">
        <v>-4</v>
      </c>
      <c r="X52" s="223">
        <v>-4</v>
      </c>
      <c r="Y52" s="223">
        <v>-4</v>
      </c>
      <c r="Z52" s="223">
        <v>-4</v>
      </c>
      <c r="AA52" s="223">
        <v>-4</v>
      </c>
      <c r="AB52" s="223">
        <v>-4</v>
      </c>
      <c r="AC52" s="223">
        <v>-4</v>
      </c>
      <c r="AD52" s="223">
        <v>-4</v>
      </c>
      <c r="AE52" s="223">
        <v>-4</v>
      </c>
      <c r="AF52" s="223">
        <v>-4</v>
      </c>
      <c r="AG52" s="223">
        <v>-4</v>
      </c>
      <c r="AH52" s="223">
        <v>-4</v>
      </c>
      <c r="AI52" s="223">
        <v>-4</v>
      </c>
      <c r="AJ52" s="223">
        <v>-4</v>
      </c>
      <c r="AK52" s="223">
        <v>-4</v>
      </c>
      <c r="AL52" s="223">
        <v>-4</v>
      </c>
      <c r="AM52" s="223">
        <v>-4</v>
      </c>
      <c r="AN52" s="223">
        <v>-4</v>
      </c>
      <c r="AO52" s="223">
        <v>-4</v>
      </c>
      <c r="AP52" s="223">
        <v>-4</v>
      </c>
      <c r="AQ52" s="223">
        <v>-4</v>
      </c>
      <c r="AR52" s="223">
        <v>-4</v>
      </c>
      <c r="AS52" s="223">
        <v>-4</v>
      </c>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185"/>
      <c r="BP52" s="185"/>
      <c r="BQ52" s="185"/>
      <c r="BR52" s="185"/>
      <c r="BS52" s="185"/>
    </row>
    <row r="53" spans="2:71" x14ac:dyDescent="0.2">
      <c r="B53" s="268" t="s">
        <v>977</v>
      </c>
      <c r="C53" s="174">
        <f t="shared" si="57"/>
        <v>11</v>
      </c>
      <c r="D53" s="204">
        <f t="shared" si="58"/>
        <v>35.193690095846648</v>
      </c>
      <c r="E53" s="204">
        <f t="shared" si="59"/>
        <v>0.89391972843450418</v>
      </c>
      <c r="G53" s="185">
        <v>19</v>
      </c>
      <c r="H53" s="223">
        <v>-3</v>
      </c>
      <c r="I53" s="223">
        <v>-3</v>
      </c>
      <c r="J53" s="223">
        <v>-3</v>
      </c>
      <c r="K53" s="223">
        <v>-3</v>
      </c>
      <c r="L53" s="223">
        <v>-3</v>
      </c>
      <c r="M53" s="223">
        <v>-3</v>
      </c>
      <c r="N53" s="223">
        <v>-3</v>
      </c>
      <c r="O53" s="223">
        <v>-3</v>
      </c>
      <c r="P53" s="223">
        <v>-3</v>
      </c>
      <c r="Q53" s="223">
        <v>-3</v>
      </c>
      <c r="R53" s="223">
        <v>-3</v>
      </c>
      <c r="S53" s="223">
        <v>-3</v>
      </c>
      <c r="T53" s="223">
        <v>-3</v>
      </c>
      <c r="U53" s="223">
        <v>-3</v>
      </c>
      <c r="V53" s="223">
        <v>-3</v>
      </c>
      <c r="W53" s="223">
        <v>-3</v>
      </c>
      <c r="X53" s="223">
        <v>-3</v>
      </c>
      <c r="Y53" s="223">
        <v>-3</v>
      </c>
      <c r="Z53" s="223">
        <v>-3</v>
      </c>
      <c r="AA53" s="223">
        <v>-3</v>
      </c>
      <c r="AB53" s="223">
        <v>-3</v>
      </c>
      <c r="AC53" s="223">
        <v>-3</v>
      </c>
      <c r="AD53" s="223">
        <v>-3</v>
      </c>
      <c r="AE53" s="223">
        <v>-3</v>
      </c>
      <c r="AF53" s="223">
        <v>-3</v>
      </c>
      <c r="AG53" s="223">
        <v>-3</v>
      </c>
      <c r="AH53" s="223">
        <v>-3</v>
      </c>
      <c r="AI53" s="223">
        <v>-3</v>
      </c>
      <c r="AJ53" s="223">
        <v>-3</v>
      </c>
      <c r="AK53" s="223">
        <v>-3</v>
      </c>
      <c r="AL53" s="223">
        <v>-3</v>
      </c>
      <c r="AM53" s="223">
        <v>-3</v>
      </c>
      <c r="AN53" s="223">
        <v>-3</v>
      </c>
      <c r="AO53" s="223">
        <v>-3</v>
      </c>
      <c r="AP53" s="223">
        <v>-3</v>
      </c>
      <c r="AQ53" s="223">
        <v>-3</v>
      </c>
      <c r="AR53" s="223">
        <v>-3</v>
      </c>
      <c r="AS53" s="223">
        <v>-3</v>
      </c>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185"/>
      <c r="BP53" s="185"/>
      <c r="BQ53" s="185"/>
      <c r="BR53" s="185"/>
      <c r="BS53" s="185"/>
    </row>
    <row r="54" spans="2:71" x14ac:dyDescent="0.2">
      <c r="B54" s="268" t="s">
        <v>976</v>
      </c>
      <c r="C54" s="174">
        <f t="shared" si="57"/>
        <v>12</v>
      </c>
      <c r="D54" s="204">
        <f t="shared" si="58"/>
        <v>35.193690095846648</v>
      </c>
      <c r="E54" s="204">
        <f t="shared" si="59"/>
        <v>0.89391972843450418</v>
      </c>
      <c r="F54" s="205"/>
      <c r="G54" s="185">
        <v>20</v>
      </c>
      <c r="H54" s="223">
        <v>-3</v>
      </c>
      <c r="I54" s="223">
        <v>-3</v>
      </c>
      <c r="J54" s="223">
        <v>-3</v>
      </c>
      <c r="K54" s="223">
        <v>-3</v>
      </c>
      <c r="L54" s="223">
        <v>-3</v>
      </c>
      <c r="M54" s="223">
        <v>-3</v>
      </c>
      <c r="N54" s="223">
        <v>-3</v>
      </c>
      <c r="O54" s="223">
        <v>-3</v>
      </c>
      <c r="P54" s="223">
        <v>-3</v>
      </c>
      <c r="Q54" s="223">
        <v>-3</v>
      </c>
      <c r="R54" s="223">
        <v>-3</v>
      </c>
      <c r="S54" s="223">
        <v>-3</v>
      </c>
      <c r="T54" s="223">
        <v>-3</v>
      </c>
      <c r="U54" s="223">
        <v>-3</v>
      </c>
      <c r="V54" s="223">
        <v>-3</v>
      </c>
      <c r="W54" s="223">
        <v>-3</v>
      </c>
      <c r="X54" s="223">
        <v>-3</v>
      </c>
      <c r="Y54" s="223">
        <v>-3</v>
      </c>
      <c r="Z54" s="223">
        <v>-3</v>
      </c>
      <c r="AA54" s="223">
        <v>-3</v>
      </c>
      <c r="AB54" s="223">
        <v>-3</v>
      </c>
      <c r="AC54" s="223">
        <v>-3</v>
      </c>
      <c r="AD54" s="223">
        <v>-3</v>
      </c>
      <c r="AE54" s="223">
        <v>-3</v>
      </c>
      <c r="AF54" s="223">
        <v>-3</v>
      </c>
      <c r="AG54" s="223">
        <v>-3</v>
      </c>
      <c r="AH54" s="223">
        <v>-3</v>
      </c>
      <c r="AI54" s="223">
        <v>-3</v>
      </c>
      <c r="AJ54" s="223">
        <v>-3</v>
      </c>
      <c r="AK54" s="223">
        <v>-3</v>
      </c>
      <c r="AL54" s="223">
        <v>-3</v>
      </c>
      <c r="AM54" s="223">
        <v>-3</v>
      </c>
      <c r="AN54" s="223">
        <v>-3</v>
      </c>
      <c r="AO54" s="223">
        <v>-3</v>
      </c>
      <c r="AP54" s="223">
        <v>-3</v>
      </c>
      <c r="AQ54" s="223">
        <v>-3</v>
      </c>
      <c r="AR54" s="223">
        <v>-3</v>
      </c>
      <c r="AS54" s="223">
        <v>-3</v>
      </c>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185"/>
      <c r="BP54" s="185"/>
      <c r="BQ54" s="185"/>
      <c r="BR54" s="185"/>
      <c r="BS54" s="185"/>
    </row>
    <row r="55" spans="2:71" x14ac:dyDescent="0.2">
      <c r="B55" s="268" t="s">
        <v>4198</v>
      </c>
      <c r="C55" s="174">
        <f t="shared" si="57"/>
        <v>13</v>
      </c>
      <c r="D55" s="204">
        <f t="shared" si="58"/>
        <v>41.049030786773088</v>
      </c>
      <c r="E55" s="204">
        <f t="shared" si="59"/>
        <v>1.0426453819840305</v>
      </c>
      <c r="F55" s="205"/>
      <c r="G55" s="185">
        <v>21</v>
      </c>
      <c r="H55" s="223">
        <v>-3</v>
      </c>
      <c r="I55" s="223">
        <v>-3</v>
      </c>
      <c r="J55" s="223">
        <v>-3</v>
      </c>
      <c r="K55" s="223">
        <v>-3</v>
      </c>
      <c r="L55" s="223">
        <v>-3</v>
      </c>
      <c r="M55" s="223">
        <v>-3</v>
      </c>
      <c r="N55" s="223">
        <v>-3</v>
      </c>
      <c r="O55" s="223">
        <v>-3</v>
      </c>
      <c r="P55" s="223">
        <v>-3</v>
      </c>
      <c r="Q55" s="223">
        <v>-3</v>
      </c>
      <c r="R55" s="223">
        <v>-3</v>
      </c>
      <c r="S55" s="223">
        <v>-3</v>
      </c>
      <c r="T55" s="223">
        <v>-3</v>
      </c>
      <c r="U55" s="223">
        <v>-3</v>
      </c>
      <c r="V55" s="223">
        <v>-3</v>
      </c>
      <c r="W55" s="223">
        <v>-3</v>
      </c>
      <c r="X55" s="223">
        <v>-3</v>
      </c>
      <c r="Y55" s="223">
        <v>-3</v>
      </c>
      <c r="Z55" s="223">
        <v>-3</v>
      </c>
      <c r="AA55" s="223">
        <v>-3</v>
      </c>
      <c r="AB55" s="223">
        <v>-3</v>
      </c>
      <c r="AC55" s="223">
        <v>-3</v>
      </c>
      <c r="AD55" s="223">
        <v>-3</v>
      </c>
      <c r="AE55" s="223">
        <v>-3</v>
      </c>
      <c r="AF55" s="223">
        <v>-3</v>
      </c>
      <c r="AG55" s="223">
        <v>-3</v>
      </c>
      <c r="AH55" s="223">
        <v>-3</v>
      </c>
      <c r="AI55" s="223">
        <v>-3</v>
      </c>
      <c r="AJ55" s="223">
        <v>-3</v>
      </c>
      <c r="AK55" s="223">
        <v>-3</v>
      </c>
      <c r="AL55" s="223">
        <v>-3</v>
      </c>
      <c r="AM55" s="223">
        <v>-3</v>
      </c>
      <c r="AN55" s="223">
        <v>-3</v>
      </c>
      <c r="AO55" s="223">
        <v>-3</v>
      </c>
      <c r="AP55" s="223">
        <v>-3</v>
      </c>
      <c r="AQ55" s="223">
        <v>-3</v>
      </c>
      <c r="AR55" s="223">
        <v>-3</v>
      </c>
      <c r="AS55" s="223">
        <v>-3</v>
      </c>
      <c r="AT55" s="223"/>
      <c r="AU55" s="223"/>
      <c r="AV55" s="223"/>
      <c r="AW55" s="223"/>
      <c r="AX55" s="223"/>
      <c r="AY55" s="223"/>
      <c r="AZ55" s="223"/>
      <c r="BA55" s="223"/>
      <c r="BB55" s="223"/>
      <c r="BC55" s="223"/>
      <c r="BD55" s="223"/>
      <c r="BE55" s="223"/>
      <c r="BF55" s="223"/>
      <c r="BG55" s="223"/>
      <c r="BH55" s="223"/>
      <c r="BI55" s="223"/>
      <c r="BJ55" s="223"/>
      <c r="BK55" s="223"/>
      <c r="BL55" s="223"/>
      <c r="BM55" s="223"/>
      <c r="BN55" s="223"/>
      <c r="BO55" s="185"/>
      <c r="BP55" s="185"/>
      <c r="BQ55" s="185"/>
      <c r="BR55" s="185"/>
      <c r="BS55" s="185"/>
    </row>
    <row r="56" spans="2:71" x14ac:dyDescent="0.2">
      <c r="B56" s="268" t="s">
        <v>4349</v>
      </c>
      <c r="C56" s="174">
        <f t="shared" si="57"/>
        <v>14</v>
      </c>
      <c r="D56" s="204">
        <f t="shared" si="58"/>
        <v>18.554819521427603</v>
      </c>
      <c r="E56" s="204">
        <f t="shared" si="59"/>
        <v>0.4712924158442604</v>
      </c>
      <c r="F56" s="205"/>
      <c r="G56" s="185">
        <v>22</v>
      </c>
      <c r="H56" s="223">
        <v>-3</v>
      </c>
      <c r="I56" s="223">
        <v>-3</v>
      </c>
      <c r="J56" s="223">
        <v>-3</v>
      </c>
      <c r="K56" s="223">
        <v>-3</v>
      </c>
      <c r="L56" s="223">
        <v>-3</v>
      </c>
      <c r="M56" s="223">
        <v>-3</v>
      </c>
      <c r="N56" s="223">
        <v>-3</v>
      </c>
      <c r="O56" s="223">
        <v>-3</v>
      </c>
      <c r="P56" s="223">
        <v>-3</v>
      </c>
      <c r="Q56" s="223">
        <v>-3</v>
      </c>
      <c r="R56" s="223">
        <v>-3</v>
      </c>
      <c r="S56" s="223">
        <v>-3</v>
      </c>
      <c r="T56" s="223">
        <v>-3</v>
      </c>
      <c r="U56" s="223">
        <v>-3</v>
      </c>
      <c r="V56" s="223">
        <v>-3</v>
      </c>
      <c r="W56" s="223">
        <v>-3</v>
      </c>
      <c r="X56" s="223">
        <v>-3</v>
      </c>
      <c r="Y56" s="223">
        <v>-3</v>
      </c>
      <c r="Z56" s="223">
        <v>-3</v>
      </c>
      <c r="AA56" s="223">
        <v>-3</v>
      </c>
      <c r="AB56" s="223">
        <v>-3</v>
      </c>
      <c r="AC56" s="223">
        <v>-3</v>
      </c>
      <c r="AD56" s="223">
        <v>-3</v>
      </c>
      <c r="AE56" s="223">
        <v>-3</v>
      </c>
      <c r="AF56" s="223">
        <v>-3</v>
      </c>
      <c r="AG56" s="223">
        <v>-3</v>
      </c>
      <c r="AH56" s="223">
        <v>-3</v>
      </c>
      <c r="AI56" s="223">
        <v>-3</v>
      </c>
      <c r="AJ56" s="223">
        <v>-3</v>
      </c>
      <c r="AK56" s="223">
        <v>-3</v>
      </c>
      <c r="AL56" s="223">
        <v>-3</v>
      </c>
      <c r="AM56" s="223">
        <v>-3</v>
      </c>
      <c r="AN56" s="223">
        <v>-3</v>
      </c>
      <c r="AO56" s="223">
        <v>-3</v>
      </c>
      <c r="AP56" s="223">
        <v>-3</v>
      </c>
      <c r="AQ56" s="223">
        <v>-3</v>
      </c>
      <c r="AR56" s="223">
        <v>-3</v>
      </c>
      <c r="AS56" s="223">
        <v>-3</v>
      </c>
      <c r="AT56" s="223"/>
      <c r="AU56" s="223"/>
      <c r="AV56" s="223"/>
      <c r="AW56" s="223"/>
      <c r="AX56" s="223"/>
      <c r="AY56" s="223"/>
      <c r="AZ56" s="223"/>
      <c r="BA56" s="223"/>
      <c r="BB56" s="223"/>
      <c r="BC56" s="223"/>
      <c r="BD56" s="223"/>
      <c r="BE56" s="223"/>
      <c r="BF56" s="223"/>
      <c r="BG56" s="223"/>
      <c r="BH56" s="223"/>
      <c r="BI56" s="223"/>
      <c r="BJ56" s="223"/>
      <c r="BK56" s="223"/>
      <c r="BL56" s="223"/>
      <c r="BM56" s="223"/>
      <c r="BN56" s="223"/>
      <c r="BO56" s="185"/>
      <c r="BP56" s="185"/>
      <c r="BQ56" s="185"/>
      <c r="BR56" s="185"/>
      <c r="BS56" s="185"/>
    </row>
    <row r="57" spans="2:71" x14ac:dyDescent="0.2">
      <c r="B57" s="268" t="s">
        <v>4361</v>
      </c>
      <c r="C57" s="174">
        <f t="shared" si="57"/>
        <v>15</v>
      </c>
      <c r="D57" s="204">
        <f t="shared" si="58"/>
        <v>16.759336970205624</v>
      </c>
      <c r="E57" s="204">
        <f t="shared" si="59"/>
        <v>0.42568715904322296</v>
      </c>
      <c r="F57" s="205"/>
      <c r="G57" s="185">
        <v>23</v>
      </c>
      <c r="H57" s="223">
        <v>-2</v>
      </c>
      <c r="I57" s="223">
        <v>-2</v>
      </c>
      <c r="J57" s="223">
        <v>-2</v>
      </c>
      <c r="K57" s="223">
        <v>-2</v>
      </c>
      <c r="L57" s="223">
        <v>-2</v>
      </c>
      <c r="M57" s="223">
        <v>-2</v>
      </c>
      <c r="N57" s="223">
        <v>-2</v>
      </c>
      <c r="O57" s="223">
        <v>-2</v>
      </c>
      <c r="P57" s="223">
        <v>-2</v>
      </c>
      <c r="Q57" s="223">
        <v>-2</v>
      </c>
      <c r="R57" s="223">
        <v>-2</v>
      </c>
      <c r="S57" s="223">
        <v>-2</v>
      </c>
      <c r="T57" s="223">
        <v>-2</v>
      </c>
      <c r="U57" s="223">
        <v>-2</v>
      </c>
      <c r="V57" s="223">
        <v>-2</v>
      </c>
      <c r="W57" s="223">
        <v>-2</v>
      </c>
      <c r="X57" s="223">
        <v>-2</v>
      </c>
      <c r="Y57" s="223">
        <v>-2</v>
      </c>
      <c r="Z57" s="223">
        <v>-2</v>
      </c>
      <c r="AA57" s="223">
        <v>-2</v>
      </c>
      <c r="AB57" s="223">
        <v>-2</v>
      </c>
      <c r="AC57" s="223">
        <v>-2</v>
      </c>
      <c r="AD57" s="223">
        <v>-2</v>
      </c>
      <c r="AE57" s="223">
        <v>-2</v>
      </c>
      <c r="AF57" s="223">
        <v>-2</v>
      </c>
      <c r="AG57" s="223">
        <v>-2</v>
      </c>
      <c r="AH57" s="223">
        <v>-2</v>
      </c>
      <c r="AI57" s="223">
        <v>-2</v>
      </c>
      <c r="AJ57" s="223">
        <v>-2</v>
      </c>
      <c r="AK57" s="223">
        <v>-2</v>
      </c>
      <c r="AL57" s="223">
        <v>-2</v>
      </c>
      <c r="AM57" s="223">
        <v>-2</v>
      </c>
      <c r="AN57" s="223">
        <v>-2</v>
      </c>
      <c r="AO57" s="223">
        <v>-2</v>
      </c>
      <c r="AP57" s="223">
        <v>-2</v>
      </c>
      <c r="AQ57" s="223">
        <v>-2</v>
      </c>
      <c r="AR57" s="223">
        <v>-2</v>
      </c>
      <c r="AS57" s="223">
        <v>-2</v>
      </c>
      <c r="AT57" s="223"/>
      <c r="AU57" s="223"/>
      <c r="AV57" s="223"/>
      <c r="AW57" s="223"/>
      <c r="AX57" s="223"/>
      <c r="AY57" s="223"/>
      <c r="AZ57" s="223"/>
      <c r="BA57" s="223"/>
      <c r="BB57" s="223"/>
      <c r="BC57" s="223"/>
      <c r="BD57" s="223"/>
      <c r="BE57" s="223"/>
      <c r="BF57" s="223"/>
      <c r="BG57" s="223"/>
      <c r="BH57" s="223"/>
      <c r="BI57" s="223"/>
      <c r="BJ57" s="223"/>
      <c r="BK57" s="223"/>
      <c r="BL57" s="223"/>
      <c r="BM57" s="223"/>
      <c r="BN57" s="223"/>
      <c r="BO57" s="185"/>
      <c r="BP57" s="185"/>
      <c r="BQ57" s="185"/>
      <c r="BR57" s="185"/>
      <c r="BS57" s="185"/>
    </row>
    <row r="58" spans="2:71" x14ac:dyDescent="0.2">
      <c r="B58" s="268" t="s">
        <v>4360</v>
      </c>
      <c r="C58" s="174">
        <f t="shared" si="57"/>
        <v>16</v>
      </c>
      <c r="D58" s="204">
        <f t="shared" si="58"/>
        <v>64.431047475508663</v>
      </c>
      <c r="E58" s="204">
        <f t="shared" si="59"/>
        <v>1.6365486058779197</v>
      </c>
      <c r="F58" s="205"/>
      <c r="G58" s="185">
        <v>24</v>
      </c>
      <c r="H58" s="223">
        <v>-2</v>
      </c>
      <c r="I58" s="223">
        <v>-2</v>
      </c>
      <c r="J58" s="223">
        <v>-2</v>
      </c>
      <c r="K58" s="223">
        <v>-2</v>
      </c>
      <c r="L58" s="223">
        <v>-2</v>
      </c>
      <c r="M58" s="223">
        <v>-2</v>
      </c>
      <c r="N58" s="223">
        <v>-2</v>
      </c>
      <c r="O58" s="223">
        <v>-2</v>
      </c>
      <c r="P58" s="223">
        <v>-2</v>
      </c>
      <c r="Q58" s="223">
        <v>-2</v>
      </c>
      <c r="R58" s="223">
        <v>-2</v>
      </c>
      <c r="S58" s="223">
        <v>-2</v>
      </c>
      <c r="T58" s="223">
        <v>-2</v>
      </c>
      <c r="U58" s="223">
        <v>-2</v>
      </c>
      <c r="V58" s="223">
        <v>-2</v>
      </c>
      <c r="W58" s="223">
        <v>-2</v>
      </c>
      <c r="X58" s="223">
        <v>-2</v>
      </c>
      <c r="Y58" s="223">
        <v>-2</v>
      </c>
      <c r="Z58" s="223">
        <v>-2</v>
      </c>
      <c r="AA58" s="223">
        <v>-2</v>
      </c>
      <c r="AB58" s="223">
        <v>-2</v>
      </c>
      <c r="AC58" s="223">
        <v>-2</v>
      </c>
      <c r="AD58" s="223">
        <v>-2</v>
      </c>
      <c r="AE58" s="223">
        <v>-2</v>
      </c>
      <c r="AF58" s="223">
        <v>-2</v>
      </c>
      <c r="AG58" s="223">
        <v>-2</v>
      </c>
      <c r="AH58" s="223">
        <v>-2</v>
      </c>
      <c r="AI58" s="223">
        <v>-2</v>
      </c>
      <c r="AJ58" s="223">
        <v>-2</v>
      </c>
      <c r="AK58" s="223">
        <v>-2</v>
      </c>
      <c r="AL58" s="223">
        <v>-2</v>
      </c>
      <c r="AM58" s="223">
        <v>-2</v>
      </c>
      <c r="AN58" s="223">
        <v>-2</v>
      </c>
      <c r="AO58" s="223">
        <v>-2</v>
      </c>
      <c r="AP58" s="223">
        <v>-2</v>
      </c>
      <c r="AQ58" s="223">
        <v>-2</v>
      </c>
      <c r="AR58" s="223">
        <v>-2</v>
      </c>
      <c r="AS58" s="223">
        <v>-2</v>
      </c>
      <c r="AT58" s="223"/>
      <c r="AU58" s="223"/>
      <c r="AV58" s="223"/>
      <c r="AW58" s="223"/>
      <c r="AX58" s="223"/>
      <c r="AY58" s="223"/>
      <c r="AZ58" s="223"/>
      <c r="BA58" s="223"/>
      <c r="BB58" s="223"/>
      <c r="BC58" s="223"/>
      <c r="BD58" s="223"/>
      <c r="BE58" s="223"/>
      <c r="BF58" s="223"/>
      <c r="BG58" s="223"/>
      <c r="BH58" s="223"/>
      <c r="BI58" s="223"/>
      <c r="BJ58" s="223"/>
      <c r="BK58" s="223"/>
      <c r="BL58" s="223"/>
      <c r="BM58" s="223"/>
      <c r="BN58" s="223"/>
      <c r="BO58" s="185"/>
      <c r="BP58" s="185"/>
      <c r="BQ58" s="185"/>
      <c r="BR58" s="185"/>
      <c r="BS58" s="185"/>
    </row>
    <row r="59" spans="2:71" x14ac:dyDescent="0.2">
      <c r="B59" s="268" t="s">
        <v>4199</v>
      </c>
      <c r="C59" s="174">
        <f t="shared" si="57"/>
        <v>17</v>
      </c>
      <c r="D59" s="204">
        <f t="shared" si="58"/>
        <v>42.211328976034856</v>
      </c>
      <c r="E59" s="204">
        <f t="shared" si="59"/>
        <v>1.0721677559912877</v>
      </c>
      <c r="F59" s="205"/>
      <c r="G59" s="185">
        <v>25</v>
      </c>
      <c r="H59" s="223">
        <v>-2</v>
      </c>
      <c r="I59" s="223">
        <v>-2</v>
      </c>
      <c r="J59" s="223">
        <v>-2</v>
      </c>
      <c r="K59" s="223">
        <v>-2</v>
      </c>
      <c r="L59" s="223">
        <v>-2</v>
      </c>
      <c r="M59" s="223">
        <v>-2</v>
      </c>
      <c r="N59" s="223">
        <v>-2</v>
      </c>
      <c r="O59" s="223">
        <v>-2</v>
      </c>
      <c r="P59" s="223">
        <v>-2</v>
      </c>
      <c r="Q59" s="223">
        <v>-2</v>
      </c>
      <c r="R59" s="223">
        <v>-2</v>
      </c>
      <c r="S59" s="223">
        <v>-2</v>
      </c>
      <c r="T59" s="223">
        <v>-2</v>
      </c>
      <c r="U59" s="223">
        <v>-2</v>
      </c>
      <c r="V59" s="223">
        <v>-2</v>
      </c>
      <c r="W59" s="223">
        <v>-2</v>
      </c>
      <c r="X59" s="223">
        <v>-2</v>
      </c>
      <c r="Y59" s="223">
        <v>-2</v>
      </c>
      <c r="Z59" s="223">
        <v>-2</v>
      </c>
      <c r="AA59" s="223">
        <v>-2</v>
      </c>
      <c r="AB59" s="223">
        <v>-2</v>
      </c>
      <c r="AC59" s="223">
        <v>-2</v>
      </c>
      <c r="AD59" s="223">
        <v>-2</v>
      </c>
      <c r="AE59" s="223">
        <v>-2</v>
      </c>
      <c r="AF59" s="223">
        <v>-2</v>
      </c>
      <c r="AG59" s="223">
        <v>-2</v>
      </c>
      <c r="AH59" s="223">
        <v>-2</v>
      </c>
      <c r="AI59" s="223">
        <v>-2</v>
      </c>
      <c r="AJ59" s="223">
        <v>-2</v>
      </c>
      <c r="AK59" s="223">
        <v>-2</v>
      </c>
      <c r="AL59" s="223">
        <v>-2</v>
      </c>
      <c r="AM59" s="223">
        <v>-2</v>
      </c>
      <c r="AN59" s="223">
        <v>-2</v>
      </c>
      <c r="AO59" s="223">
        <v>-2</v>
      </c>
      <c r="AP59" s="223">
        <v>-2</v>
      </c>
      <c r="AQ59" s="223">
        <v>-2</v>
      </c>
      <c r="AR59" s="223">
        <v>-2</v>
      </c>
      <c r="AS59" s="223">
        <v>-2</v>
      </c>
      <c r="AT59" s="223"/>
      <c r="AU59" s="223"/>
      <c r="AV59" s="223"/>
      <c r="AW59" s="223"/>
      <c r="AX59" s="223"/>
      <c r="AY59" s="223"/>
      <c r="AZ59" s="223"/>
      <c r="BA59" s="223"/>
      <c r="BB59" s="223"/>
      <c r="BC59" s="223"/>
      <c r="BD59" s="223"/>
      <c r="BE59" s="223"/>
      <c r="BF59" s="223"/>
      <c r="BG59" s="223"/>
      <c r="BH59" s="223"/>
      <c r="BI59" s="223"/>
      <c r="BJ59" s="223"/>
      <c r="BK59" s="223"/>
      <c r="BL59" s="223"/>
      <c r="BM59" s="223"/>
      <c r="BN59" s="223"/>
      <c r="BO59" s="185"/>
      <c r="BP59" s="185"/>
      <c r="BQ59" s="185"/>
      <c r="BR59" s="185"/>
      <c r="BS59" s="185"/>
    </row>
    <row r="60" spans="2:71" x14ac:dyDescent="0.2">
      <c r="B60" s="268" t="s">
        <v>899</v>
      </c>
      <c r="C60" s="174">
        <f t="shared" si="57"/>
        <v>18</v>
      </c>
      <c r="D60" s="204">
        <f t="shared" si="58"/>
        <v>41.405486226925071</v>
      </c>
      <c r="E60" s="204">
        <f t="shared" si="59"/>
        <v>1.0516993501639007</v>
      </c>
      <c r="F60" s="205"/>
      <c r="G60" s="185">
        <v>26</v>
      </c>
      <c r="H60" s="223">
        <v>-2</v>
      </c>
      <c r="I60" s="223">
        <v>-2</v>
      </c>
      <c r="J60" s="223">
        <v>-2</v>
      </c>
      <c r="K60" s="223">
        <v>-2</v>
      </c>
      <c r="L60" s="223">
        <v>-2</v>
      </c>
      <c r="M60" s="223">
        <v>-2</v>
      </c>
      <c r="N60" s="223">
        <v>-2</v>
      </c>
      <c r="O60" s="223">
        <v>-2</v>
      </c>
      <c r="P60" s="223">
        <v>-2</v>
      </c>
      <c r="Q60" s="223">
        <v>-2</v>
      </c>
      <c r="R60" s="223">
        <v>-2</v>
      </c>
      <c r="S60" s="223">
        <v>-2</v>
      </c>
      <c r="T60" s="223">
        <v>-2</v>
      </c>
      <c r="U60" s="223">
        <v>-2</v>
      </c>
      <c r="V60" s="223">
        <v>-2</v>
      </c>
      <c r="W60" s="223">
        <v>-2</v>
      </c>
      <c r="X60" s="223">
        <v>-2</v>
      </c>
      <c r="Y60" s="223">
        <v>-2</v>
      </c>
      <c r="Z60" s="223">
        <v>-2</v>
      </c>
      <c r="AA60" s="223">
        <v>-2</v>
      </c>
      <c r="AB60" s="223">
        <v>-2</v>
      </c>
      <c r="AC60" s="223">
        <v>-2</v>
      </c>
      <c r="AD60" s="223">
        <v>-2</v>
      </c>
      <c r="AE60" s="223">
        <v>-2</v>
      </c>
      <c r="AF60" s="223">
        <v>-2</v>
      </c>
      <c r="AG60" s="223">
        <v>-2</v>
      </c>
      <c r="AH60" s="223">
        <v>-2</v>
      </c>
      <c r="AI60" s="223">
        <v>-2</v>
      </c>
      <c r="AJ60" s="223">
        <v>-2</v>
      </c>
      <c r="AK60" s="223">
        <v>-2</v>
      </c>
      <c r="AL60" s="223">
        <v>-2</v>
      </c>
      <c r="AM60" s="223">
        <v>-2</v>
      </c>
      <c r="AN60" s="223">
        <v>-2</v>
      </c>
      <c r="AO60" s="223">
        <v>-2</v>
      </c>
      <c r="AP60" s="223">
        <v>-2</v>
      </c>
      <c r="AQ60" s="223">
        <v>-2</v>
      </c>
      <c r="AR60" s="223">
        <v>-2</v>
      </c>
      <c r="AS60" s="223">
        <v>-2</v>
      </c>
      <c r="AT60" s="223"/>
      <c r="AU60" s="223"/>
      <c r="AV60" s="223"/>
      <c r="AW60" s="223"/>
      <c r="AX60" s="223"/>
      <c r="AY60" s="223"/>
      <c r="AZ60" s="223"/>
      <c r="BA60" s="223"/>
      <c r="BB60" s="223"/>
      <c r="BC60" s="223"/>
      <c r="BD60" s="223"/>
      <c r="BE60" s="223"/>
      <c r="BF60" s="223"/>
      <c r="BG60" s="223"/>
      <c r="BH60" s="223"/>
      <c r="BI60" s="223"/>
      <c r="BJ60" s="223"/>
      <c r="BK60" s="223"/>
      <c r="BL60" s="223"/>
      <c r="BM60" s="223"/>
      <c r="BN60" s="223"/>
      <c r="BO60" s="185"/>
      <c r="BP60" s="185"/>
      <c r="BQ60" s="185"/>
      <c r="BR60" s="185"/>
      <c r="BS60" s="185"/>
    </row>
    <row r="61" spans="2:71" x14ac:dyDescent="0.2">
      <c r="B61" s="268" t="s">
        <v>1058</v>
      </c>
      <c r="C61" s="174">
        <f t="shared" si="57"/>
        <v>19</v>
      </c>
      <c r="D61" s="204">
        <f t="shared" si="58"/>
        <v>47.104842708390727</v>
      </c>
      <c r="E61" s="204">
        <f t="shared" si="59"/>
        <v>1.1964630047931308</v>
      </c>
      <c r="F61" s="205"/>
      <c r="G61" s="185">
        <v>27</v>
      </c>
      <c r="H61" s="223">
        <v>-2</v>
      </c>
      <c r="I61" s="223">
        <v>-2</v>
      </c>
      <c r="J61" s="223">
        <v>-2</v>
      </c>
      <c r="K61" s="223">
        <v>-2</v>
      </c>
      <c r="L61" s="223">
        <v>-2</v>
      </c>
      <c r="M61" s="223">
        <v>-2</v>
      </c>
      <c r="N61" s="223">
        <v>-2</v>
      </c>
      <c r="O61" s="223">
        <v>-2</v>
      </c>
      <c r="P61" s="223">
        <v>-2</v>
      </c>
      <c r="Q61" s="223">
        <v>-2</v>
      </c>
      <c r="R61" s="223">
        <v>-2</v>
      </c>
      <c r="S61" s="223">
        <v>-2</v>
      </c>
      <c r="T61" s="223">
        <v>-2</v>
      </c>
      <c r="U61" s="223">
        <v>-2</v>
      </c>
      <c r="V61" s="223">
        <v>-2</v>
      </c>
      <c r="W61" s="223">
        <v>-2</v>
      </c>
      <c r="X61" s="223">
        <v>-2</v>
      </c>
      <c r="Y61" s="223">
        <v>-2</v>
      </c>
      <c r="Z61" s="223">
        <v>-2</v>
      </c>
      <c r="AA61" s="223">
        <v>-2</v>
      </c>
      <c r="AB61" s="223">
        <v>-2</v>
      </c>
      <c r="AC61" s="223">
        <v>-2</v>
      </c>
      <c r="AD61" s="223">
        <v>-2</v>
      </c>
      <c r="AE61" s="223">
        <v>-2</v>
      </c>
      <c r="AF61" s="223">
        <v>-2</v>
      </c>
      <c r="AG61" s="223">
        <v>-2</v>
      </c>
      <c r="AH61" s="223">
        <v>-2</v>
      </c>
      <c r="AI61" s="223">
        <v>-2</v>
      </c>
      <c r="AJ61" s="223">
        <v>-2</v>
      </c>
      <c r="AK61" s="223">
        <v>-2</v>
      </c>
      <c r="AL61" s="223">
        <v>-2</v>
      </c>
      <c r="AM61" s="223">
        <v>-2</v>
      </c>
      <c r="AN61" s="223">
        <v>-2</v>
      </c>
      <c r="AO61" s="223">
        <v>-2</v>
      </c>
      <c r="AP61" s="223">
        <v>-2</v>
      </c>
      <c r="AQ61" s="223">
        <v>-2</v>
      </c>
      <c r="AR61" s="223">
        <v>-2</v>
      </c>
      <c r="AS61" s="223">
        <v>-2</v>
      </c>
      <c r="AT61" s="223"/>
      <c r="AU61" s="223"/>
      <c r="AV61" s="223"/>
      <c r="AW61" s="223"/>
      <c r="AX61" s="223"/>
      <c r="AY61" s="223"/>
      <c r="AZ61" s="223"/>
      <c r="BA61" s="223"/>
      <c r="BB61" s="223"/>
      <c r="BC61" s="223"/>
      <c r="BD61" s="223"/>
      <c r="BE61" s="223"/>
      <c r="BF61" s="223"/>
      <c r="BG61" s="223"/>
      <c r="BH61" s="223"/>
      <c r="BI61" s="223"/>
      <c r="BJ61" s="223"/>
      <c r="BK61" s="223"/>
      <c r="BL61" s="223"/>
      <c r="BM61" s="223"/>
      <c r="BN61" s="223"/>
      <c r="BO61" s="185"/>
      <c r="BP61" s="185"/>
      <c r="BQ61" s="185"/>
      <c r="BR61" s="185"/>
      <c r="BS61" s="185"/>
    </row>
    <row r="62" spans="2:71" x14ac:dyDescent="0.2">
      <c r="B62" s="268" t="s">
        <v>4200</v>
      </c>
      <c r="C62" s="174">
        <f t="shared" si="57"/>
        <v>20</v>
      </c>
      <c r="D62" s="204">
        <f t="shared" si="58"/>
        <v>44.9154532644434</v>
      </c>
      <c r="E62" s="204">
        <f t="shared" si="59"/>
        <v>1.1408525129168652</v>
      </c>
      <c r="F62" s="205"/>
      <c r="G62" s="185">
        <v>28</v>
      </c>
      <c r="H62" s="223">
        <v>-2</v>
      </c>
      <c r="I62" s="223">
        <v>-2</v>
      </c>
      <c r="J62" s="223">
        <v>-2</v>
      </c>
      <c r="K62" s="223">
        <v>-2</v>
      </c>
      <c r="L62" s="223">
        <v>-2</v>
      </c>
      <c r="M62" s="223">
        <v>-2</v>
      </c>
      <c r="N62" s="223">
        <v>-2</v>
      </c>
      <c r="O62" s="223">
        <v>-2</v>
      </c>
      <c r="P62" s="223">
        <v>-2</v>
      </c>
      <c r="Q62" s="223">
        <v>-2</v>
      </c>
      <c r="R62" s="223">
        <v>-2</v>
      </c>
      <c r="S62" s="223">
        <v>-2</v>
      </c>
      <c r="T62" s="223">
        <v>-2</v>
      </c>
      <c r="U62" s="223">
        <v>-2</v>
      </c>
      <c r="V62" s="223">
        <v>-2</v>
      </c>
      <c r="W62" s="223">
        <v>-2</v>
      </c>
      <c r="X62" s="223">
        <v>-2</v>
      </c>
      <c r="Y62" s="223">
        <v>-2</v>
      </c>
      <c r="Z62" s="223">
        <v>-2</v>
      </c>
      <c r="AA62" s="223">
        <v>-2</v>
      </c>
      <c r="AB62" s="223">
        <v>-2</v>
      </c>
      <c r="AC62" s="223">
        <v>-2</v>
      </c>
      <c r="AD62" s="223">
        <v>-2</v>
      </c>
      <c r="AE62" s="223">
        <v>-2</v>
      </c>
      <c r="AF62" s="223">
        <v>-2</v>
      </c>
      <c r="AG62" s="223">
        <v>-2</v>
      </c>
      <c r="AH62" s="223">
        <v>-2</v>
      </c>
      <c r="AI62" s="223">
        <v>-2</v>
      </c>
      <c r="AJ62" s="223">
        <v>-2</v>
      </c>
      <c r="AK62" s="223">
        <v>-2</v>
      </c>
      <c r="AL62" s="223">
        <v>-2</v>
      </c>
      <c r="AM62" s="223">
        <v>-2</v>
      </c>
      <c r="AN62" s="223">
        <v>-2</v>
      </c>
      <c r="AO62" s="223">
        <v>-2</v>
      </c>
      <c r="AP62" s="223">
        <v>-2</v>
      </c>
      <c r="AQ62" s="223">
        <v>-2</v>
      </c>
      <c r="AR62" s="223">
        <v>-2</v>
      </c>
      <c r="AS62" s="223">
        <v>-2</v>
      </c>
      <c r="AT62" s="223"/>
      <c r="AU62" s="223"/>
      <c r="AV62" s="223"/>
      <c r="AW62" s="223"/>
      <c r="AX62" s="223"/>
      <c r="AY62" s="223"/>
      <c r="AZ62" s="223"/>
      <c r="BA62" s="223"/>
      <c r="BB62" s="223"/>
      <c r="BC62" s="223"/>
      <c r="BD62" s="223"/>
      <c r="BE62" s="223"/>
      <c r="BF62" s="223"/>
      <c r="BG62" s="223"/>
      <c r="BH62" s="223"/>
      <c r="BI62" s="223"/>
      <c r="BJ62" s="223"/>
      <c r="BK62" s="223"/>
      <c r="BL62" s="223"/>
      <c r="BM62" s="223"/>
      <c r="BN62" s="223"/>
      <c r="BO62" s="185"/>
      <c r="BP62" s="185"/>
      <c r="BQ62" s="185"/>
      <c r="BR62" s="185"/>
      <c r="BS62" s="185"/>
    </row>
    <row r="63" spans="2:71" x14ac:dyDescent="0.2">
      <c r="B63" s="268" t="s">
        <v>4359</v>
      </c>
      <c r="C63" s="174">
        <f t="shared" si="57"/>
        <v>21</v>
      </c>
      <c r="D63" s="204">
        <f t="shared" si="58"/>
        <v>64.634535588892433</v>
      </c>
      <c r="E63" s="204">
        <f t="shared" si="59"/>
        <v>1.6417172039578816</v>
      </c>
      <c r="F63" s="205"/>
      <c r="G63" s="185">
        <v>29</v>
      </c>
      <c r="H63" s="223">
        <v>-2</v>
      </c>
      <c r="I63" s="223">
        <v>-2</v>
      </c>
      <c r="J63" s="223">
        <v>-2</v>
      </c>
      <c r="K63" s="223">
        <v>-2</v>
      </c>
      <c r="L63" s="223">
        <v>-2</v>
      </c>
      <c r="M63" s="223">
        <v>-2</v>
      </c>
      <c r="N63" s="223">
        <v>-2</v>
      </c>
      <c r="O63" s="223">
        <v>-2</v>
      </c>
      <c r="P63" s="223">
        <v>-2</v>
      </c>
      <c r="Q63" s="223">
        <v>-2</v>
      </c>
      <c r="R63" s="223">
        <v>-2</v>
      </c>
      <c r="S63" s="223">
        <v>-2</v>
      </c>
      <c r="T63" s="223">
        <v>-2</v>
      </c>
      <c r="U63" s="223">
        <v>-2</v>
      </c>
      <c r="V63" s="223">
        <v>-2</v>
      </c>
      <c r="W63" s="223">
        <v>-2</v>
      </c>
      <c r="X63" s="223">
        <v>-2</v>
      </c>
      <c r="Y63" s="223">
        <v>-2</v>
      </c>
      <c r="Z63" s="223">
        <v>-2</v>
      </c>
      <c r="AA63" s="223">
        <v>-2</v>
      </c>
      <c r="AB63" s="223">
        <v>-2</v>
      </c>
      <c r="AC63" s="223">
        <v>-2</v>
      </c>
      <c r="AD63" s="223">
        <v>-2</v>
      </c>
      <c r="AE63" s="223">
        <v>-2</v>
      </c>
      <c r="AF63" s="223">
        <v>-2</v>
      </c>
      <c r="AG63" s="223">
        <v>-2</v>
      </c>
      <c r="AH63" s="223">
        <v>-2</v>
      </c>
      <c r="AI63" s="223">
        <v>-2</v>
      </c>
      <c r="AJ63" s="223">
        <v>-2</v>
      </c>
      <c r="AK63" s="223">
        <v>-2</v>
      </c>
      <c r="AL63" s="223">
        <v>-2</v>
      </c>
      <c r="AM63" s="223">
        <v>-2</v>
      </c>
      <c r="AN63" s="223">
        <v>-2</v>
      </c>
      <c r="AO63" s="223">
        <v>-2</v>
      </c>
      <c r="AP63" s="223">
        <v>-2</v>
      </c>
      <c r="AQ63" s="223">
        <v>-2</v>
      </c>
      <c r="AR63" s="223">
        <v>-2</v>
      </c>
      <c r="AS63" s="223">
        <v>-2</v>
      </c>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185"/>
      <c r="BP63" s="185"/>
      <c r="BQ63" s="185"/>
      <c r="BR63" s="185"/>
      <c r="BS63" s="185"/>
    </row>
    <row r="64" spans="2:71" x14ac:dyDescent="0.2">
      <c r="B64" s="268" t="s">
        <v>4189</v>
      </c>
      <c r="C64" s="174">
        <f t="shared" si="57"/>
        <v>22</v>
      </c>
      <c r="D64" s="204">
        <f t="shared" si="58"/>
        <v>46.243434574103681</v>
      </c>
      <c r="E64" s="204">
        <f t="shared" si="59"/>
        <v>1.1745832381822368</v>
      </c>
      <c r="F64" s="205"/>
      <c r="G64" s="185">
        <v>30</v>
      </c>
      <c r="H64" s="223">
        <v>-1</v>
      </c>
      <c r="I64" s="223">
        <v>-1</v>
      </c>
      <c r="J64" s="223">
        <v>-1</v>
      </c>
      <c r="K64" s="223">
        <v>-1</v>
      </c>
      <c r="L64" s="223">
        <v>-1</v>
      </c>
      <c r="M64" s="223">
        <v>-1</v>
      </c>
      <c r="N64" s="223">
        <v>-1</v>
      </c>
      <c r="O64" s="223">
        <v>-1</v>
      </c>
      <c r="P64" s="223">
        <v>-1</v>
      </c>
      <c r="Q64" s="223">
        <v>-1</v>
      </c>
      <c r="R64" s="223">
        <v>-1</v>
      </c>
      <c r="S64" s="223">
        <v>-1</v>
      </c>
      <c r="T64" s="223">
        <v>-1</v>
      </c>
      <c r="U64" s="223">
        <v>-1</v>
      </c>
      <c r="V64" s="223">
        <v>-1</v>
      </c>
      <c r="W64" s="223">
        <v>-1</v>
      </c>
      <c r="X64" s="223">
        <v>-1</v>
      </c>
      <c r="Y64" s="223">
        <v>-1</v>
      </c>
      <c r="Z64" s="223">
        <v>-1</v>
      </c>
      <c r="AA64" s="223">
        <v>-1</v>
      </c>
      <c r="AB64" s="223">
        <v>-1</v>
      </c>
      <c r="AC64" s="223">
        <v>-1</v>
      </c>
      <c r="AD64" s="223">
        <v>-1</v>
      </c>
      <c r="AE64" s="223">
        <v>-1</v>
      </c>
      <c r="AF64" s="223">
        <v>-1</v>
      </c>
      <c r="AG64" s="223">
        <v>-1</v>
      </c>
      <c r="AH64" s="223">
        <v>-1</v>
      </c>
      <c r="AI64" s="223">
        <v>-1</v>
      </c>
      <c r="AJ64" s="223">
        <v>-1</v>
      </c>
      <c r="AK64" s="223">
        <v>-1</v>
      </c>
      <c r="AL64" s="223">
        <v>-1</v>
      </c>
      <c r="AM64" s="223">
        <v>-1</v>
      </c>
      <c r="AN64" s="223">
        <v>-1</v>
      </c>
      <c r="AO64" s="223">
        <v>-1</v>
      </c>
      <c r="AP64" s="223">
        <v>-1</v>
      </c>
      <c r="AQ64" s="223">
        <v>-1</v>
      </c>
      <c r="AR64" s="223">
        <v>-1</v>
      </c>
      <c r="AS64" s="223">
        <v>-1</v>
      </c>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185"/>
      <c r="BP64" s="185"/>
      <c r="BQ64" s="185"/>
      <c r="BR64" s="185"/>
      <c r="BS64" s="185"/>
    </row>
    <row r="65" spans="2:71" x14ac:dyDescent="0.2">
      <c r="B65" s="268" t="s">
        <v>4388</v>
      </c>
      <c r="C65" s="174">
        <f t="shared" si="57"/>
        <v>23</v>
      </c>
      <c r="D65" s="204">
        <f t="shared" si="58"/>
        <v>40.80938615881653</v>
      </c>
      <c r="E65" s="204">
        <f t="shared" si="59"/>
        <v>1.0365584084339474</v>
      </c>
      <c r="F65" s="205"/>
      <c r="G65" s="185">
        <v>31</v>
      </c>
      <c r="H65" s="223">
        <v>-1</v>
      </c>
      <c r="I65" s="223">
        <v>-1</v>
      </c>
      <c r="J65" s="223">
        <v>-1</v>
      </c>
      <c r="K65" s="223">
        <v>-1</v>
      </c>
      <c r="L65" s="223">
        <v>-1</v>
      </c>
      <c r="M65" s="223">
        <v>-1</v>
      </c>
      <c r="N65" s="223">
        <v>-1</v>
      </c>
      <c r="O65" s="223">
        <v>-1</v>
      </c>
      <c r="P65" s="223">
        <v>-1</v>
      </c>
      <c r="Q65" s="223">
        <v>-1</v>
      </c>
      <c r="R65" s="223">
        <v>-1</v>
      </c>
      <c r="S65" s="223">
        <v>-1</v>
      </c>
      <c r="T65" s="223">
        <v>-1</v>
      </c>
      <c r="U65" s="223">
        <v>-1</v>
      </c>
      <c r="V65" s="223">
        <v>-1</v>
      </c>
      <c r="W65" s="223">
        <v>-1</v>
      </c>
      <c r="X65" s="223">
        <v>-1</v>
      </c>
      <c r="Y65" s="223">
        <v>-1</v>
      </c>
      <c r="Z65" s="223">
        <v>-1</v>
      </c>
      <c r="AA65" s="223">
        <v>-1</v>
      </c>
      <c r="AB65" s="223">
        <v>-1</v>
      </c>
      <c r="AC65" s="223">
        <v>-1</v>
      </c>
      <c r="AD65" s="223">
        <v>-1</v>
      </c>
      <c r="AE65" s="223">
        <v>-1</v>
      </c>
      <c r="AF65" s="223">
        <v>-1</v>
      </c>
      <c r="AG65" s="223">
        <v>-1</v>
      </c>
      <c r="AH65" s="223">
        <v>-1</v>
      </c>
      <c r="AI65" s="223">
        <v>-1</v>
      </c>
      <c r="AJ65" s="223">
        <v>-1</v>
      </c>
      <c r="AK65" s="223">
        <v>-1</v>
      </c>
      <c r="AL65" s="223">
        <v>-1</v>
      </c>
      <c r="AM65" s="223">
        <v>-1</v>
      </c>
      <c r="AN65" s="223">
        <v>-1</v>
      </c>
      <c r="AO65" s="223">
        <v>-1</v>
      </c>
      <c r="AP65" s="223">
        <v>-1</v>
      </c>
      <c r="AQ65" s="223">
        <v>-1</v>
      </c>
      <c r="AR65" s="223">
        <v>-1</v>
      </c>
      <c r="AS65" s="223">
        <v>-1</v>
      </c>
      <c r="AT65" s="223"/>
      <c r="AU65" s="223"/>
      <c r="AV65" s="223"/>
      <c r="AW65" s="223"/>
      <c r="AX65" s="223"/>
      <c r="AY65" s="223"/>
      <c r="AZ65" s="223"/>
      <c r="BA65" s="223"/>
      <c r="BB65" s="223"/>
      <c r="BC65" s="223"/>
      <c r="BD65" s="223"/>
      <c r="BE65" s="223"/>
      <c r="BF65" s="223"/>
      <c r="BG65" s="223"/>
      <c r="BH65" s="223"/>
      <c r="BI65" s="223"/>
      <c r="BJ65" s="223"/>
      <c r="BK65" s="223"/>
      <c r="BL65" s="223"/>
      <c r="BM65" s="223"/>
      <c r="BN65" s="223"/>
      <c r="BO65" s="185"/>
      <c r="BP65" s="185"/>
      <c r="BQ65" s="185"/>
      <c r="BR65" s="185"/>
      <c r="BS65" s="185"/>
    </row>
    <row r="66" spans="2:71" x14ac:dyDescent="0.2">
      <c r="B66" s="268" t="s">
        <v>4393</v>
      </c>
      <c r="C66" s="174">
        <f t="shared" si="57"/>
        <v>24</v>
      </c>
      <c r="D66" s="204">
        <f t="shared" si="58"/>
        <v>16.975641302004743</v>
      </c>
      <c r="E66" s="204">
        <f t="shared" si="59"/>
        <v>0.43118128907092057</v>
      </c>
      <c r="G66" s="185">
        <v>32</v>
      </c>
      <c r="H66" s="223">
        <v>-1</v>
      </c>
      <c r="I66" s="223">
        <v>-1</v>
      </c>
      <c r="J66" s="223">
        <v>-1</v>
      </c>
      <c r="K66" s="223">
        <v>-1</v>
      </c>
      <c r="L66" s="223">
        <v>-1</v>
      </c>
      <c r="M66" s="223">
        <v>-1</v>
      </c>
      <c r="N66" s="223">
        <v>-1</v>
      </c>
      <c r="O66" s="223">
        <v>-1</v>
      </c>
      <c r="P66" s="223">
        <v>-1</v>
      </c>
      <c r="Q66" s="223">
        <v>-1</v>
      </c>
      <c r="R66" s="223">
        <v>-1</v>
      </c>
      <c r="S66" s="223">
        <v>-1</v>
      </c>
      <c r="T66" s="223">
        <v>-1</v>
      </c>
      <c r="U66" s="223">
        <v>-1</v>
      </c>
      <c r="V66" s="223">
        <v>-1</v>
      </c>
      <c r="W66" s="223">
        <v>-1</v>
      </c>
      <c r="X66" s="223">
        <v>-1</v>
      </c>
      <c r="Y66" s="223">
        <v>-1</v>
      </c>
      <c r="Z66" s="223">
        <v>-1</v>
      </c>
      <c r="AA66" s="223">
        <v>-1</v>
      </c>
      <c r="AB66" s="223">
        <v>-1</v>
      </c>
      <c r="AC66" s="223">
        <v>-1</v>
      </c>
      <c r="AD66" s="223">
        <v>-1</v>
      </c>
      <c r="AE66" s="223">
        <v>-1</v>
      </c>
      <c r="AF66" s="223">
        <v>-1</v>
      </c>
      <c r="AG66" s="223">
        <v>-1</v>
      </c>
      <c r="AH66" s="223">
        <v>-1</v>
      </c>
      <c r="AI66" s="223">
        <v>-1</v>
      </c>
      <c r="AJ66" s="223">
        <v>-1</v>
      </c>
      <c r="AK66" s="223">
        <v>-1</v>
      </c>
      <c r="AL66" s="223">
        <v>-1</v>
      </c>
      <c r="AM66" s="223">
        <v>-1</v>
      </c>
      <c r="AN66" s="223">
        <v>-1</v>
      </c>
      <c r="AO66" s="223">
        <v>-1</v>
      </c>
      <c r="AP66" s="223">
        <v>-1</v>
      </c>
      <c r="AQ66" s="223">
        <v>-1</v>
      </c>
      <c r="AR66" s="223">
        <v>-1</v>
      </c>
      <c r="AS66" s="223">
        <v>-1</v>
      </c>
      <c r="AT66" s="223"/>
      <c r="AU66" s="223"/>
      <c r="AV66" s="223"/>
      <c r="AW66" s="223"/>
      <c r="AX66" s="223"/>
      <c r="AY66" s="223"/>
      <c r="AZ66" s="223"/>
      <c r="BA66" s="223"/>
      <c r="BB66" s="223"/>
      <c r="BC66" s="223"/>
      <c r="BD66" s="223"/>
      <c r="BE66" s="223"/>
      <c r="BF66" s="223"/>
      <c r="BG66" s="223"/>
      <c r="BH66" s="223"/>
      <c r="BI66" s="223"/>
      <c r="BJ66" s="223"/>
      <c r="BK66" s="223"/>
      <c r="BL66" s="223"/>
      <c r="BM66" s="223"/>
      <c r="BN66" s="223"/>
      <c r="BO66" s="185"/>
      <c r="BP66" s="185"/>
      <c r="BQ66" s="185"/>
      <c r="BR66" s="185"/>
      <c r="BS66" s="185"/>
    </row>
    <row r="67" spans="2:71" x14ac:dyDescent="0.2">
      <c r="B67" s="268" t="s">
        <v>4172</v>
      </c>
      <c r="C67" s="174">
        <f t="shared" si="57"/>
        <v>25</v>
      </c>
      <c r="D67" s="204">
        <f t="shared" si="58"/>
        <v>40.40667361835245</v>
      </c>
      <c r="E67" s="204">
        <f t="shared" si="59"/>
        <v>1.026329509906148</v>
      </c>
      <c r="G67" s="185">
        <v>33</v>
      </c>
      <c r="H67" s="223">
        <v>-1</v>
      </c>
      <c r="I67" s="223">
        <v>-1</v>
      </c>
      <c r="J67" s="223">
        <v>-1</v>
      </c>
      <c r="K67" s="223">
        <v>-1</v>
      </c>
      <c r="L67" s="223">
        <v>-1</v>
      </c>
      <c r="M67" s="223">
        <v>-1</v>
      </c>
      <c r="N67" s="223">
        <v>-1</v>
      </c>
      <c r="O67" s="223">
        <v>-1</v>
      </c>
      <c r="P67" s="223">
        <v>-1</v>
      </c>
      <c r="Q67" s="223">
        <v>-1</v>
      </c>
      <c r="R67" s="223">
        <v>-1</v>
      </c>
      <c r="S67" s="223">
        <v>-1</v>
      </c>
      <c r="T67" s="223">
        <v>-1</v>
      </c>
      <c r="U67" s="223">
        <v>-1</v>
      </c>
      <c r="V67" s="223">
        <v>-1</v>
      </c>
      <c r="W67" s="223">
        <v>-1</v>
      </c>
      <c r="X67" s="223">
        <v>-1</v>
      </c>
      <c r="Y67" s="223">
        <v>-1</v>
      </c>
      <c r="Z67" s="223">
        <v>-1</v>
      </c>
      <c r="AA67" s="223">
        <v>-1</v>
      </c>
      <c r="AB67" s="223">
        <v>-1</v>
      </c>
      <c r="AC67" s="223">
        <v>-1</v>
      </c>
      <c r="AD67" s="223">
        <v>-1</v>
      </c>
      <c r="AE67" s="223">
        <v>-1</v>
      </c>
      <c r="AF67" s="223">
        <v>-1</v>
      </c>
      <c r="AG67" s="223">
        <v>-1</v>
      </c>
      <c r="AH67" s="223">
        <v>-1</v>
      </c>
      <c r="AI67" s="223">
        <v>-1</v>
      </c>
      <c r="AJ67" s="223">
        <v>-1</v>
      </c>
      <c r="AK67" s="223">
        <v>-1</v>
      </c>
      <c r="AL67" s="223">
        <v>-1</v>
      </c>
      <c r="AM67" s="223">
        <v>-1</v>
      </c>
      <c r="AN67" s="223">
        <v>-1</v>
      </c>
      <c r="AO67" s="223">
        <v>-1</v>
      </c>
      <c r="AP67" s="223">
        <v>-1</v>
      </c>
      <c r="AQ67" s="223">
        <v>-1</v>
      </c>
      <c r="AR67" s="223">
        <v>-1</v>
      </c>
      <c r="AS67" s="223">
        <v>-1</v>
      </c>
      <c r="AT67" s="223"/>
      <c r="AU67" s="223"/>
      <c r="AV67" s="223"/>
      <c r="AW67" s="223"/>
      <c r="AX67" s="223"/>
      <c r="AY67" s="223"/>
      <c r="AZ67" s="223"/>
      <c r="BA67" s="223"/>
      <c r="BB67" s="223"/>
      <c r="BC67" s="223"/>
      <c r="BD67" s="223"/>
      <c r="BE67" s="223"/>
      <c r="BF67" s="223"/>
      <c r="BG67" s="223"/>
      <c r="BH67" s="223"/>
      <c r="BI67" s="223"/>
      <c r="BJ67" s="223"/>
      <c r="BK67" s="223"/>
      <c r="BL67" s="223"/>
      <c r="BM67" s="223"/>
      <c r="BN67" s="223"/>
      <c r="BO67" s="185"/>
      <c r="BP67" s="185"/>
      <c r="BQ67" s="185"/>
      <c r="BR67" s="185"/>
      <c r="BS67" s="185"/>
    </row>
    <row r="68" spans="2:71" x14ac:dyDescent="0.2">
      <c r="B68" s="268" t="s">
        <v>4364</v>
      </c>
      <c r="C68" s="174">
        <f t="shared" si="57"/>
        <v>26</v>
      </c>
      <c r="D68" s="204">
        <f t="shared" si="58"/>
        <v>63.688488895340399</v>
      </c>
      <c r="E68" s="204">
        <f t="shared" si="59"/>
        <v>1.6176876179416411</v>
      </c>
      <c r="G68" s="185">
        <v>34</v>
      </c>
      <c r="H68" s="223">
        <v>-1</v>
      </c>
      <c r="I68" s="223">
        <v>-1</v>
      </c>
      <c r="J68" s="223">
        <v>-1</v>
      </c>
      <c r="K68" s="223">
        <v>-1</v>
      </c>
      <c r="L68" s="223">
        <v>-1</v>
      </c>
      <c r="M68" s="223">
        <v>-1</v>
      </c>
      <c r="N68" s="223">
        <v>-1</v>
      </c>
      <c r="O68" s="223">
        <v>-1</v>
      </c>
      <c r="P68" s="223">
        <v>-1</v>
      </c>
      <c r="Q68" s="223">
        <v>-1</v>
      </c>
      <c r="R68" s="223">
        <v>-1</v>
      </c>
      <c r="S68" s="223">
        <v>-1</v>
      </c>
      <c r="T68" s="223">
        <v>-1</v>
      </c>
      <c r="U68" s="223">
        <v>-1</v>
      </c>
      <c r="V68" s="223">
        <v>-1</v>
      </c>
      <c r="W68" s="223">
        <v>-1</v>
      </c>
      <c r="X68" s="223">
        <v>-1</v>
      </c>
      <c r="Y68" s="223">
        <v>-1</v>
      </c>
      <c r="Z68" s="223">
        <v>-1</v>
      </c>
      <c r="AA68" s="223">
        <v>-1</v>
      </c>
      <c r="AB68" s="223">
        <v>-1</v>
      </c>
      <c r="AC68" s="223">
        <v>-1</v>
      </c>
      <c r="AD68" s="223">
        <v>-1</v>
      </c>
      <c r="AE68" s="223">
        <v>-1</v>
      </c>
      <c r="AF68" s="223">
        <v>-1</v>
      </c>
      <c r="AG68" s="223">
        <v>-1</v>
      </c>
      <c r="AH68" s="223">
        <v>-1</v>
      </c>
      <c r="AI68" s="223">
        <v>-1</v>
      </c>
      <c r="AJ68" s="223">
        <v>-1</v>
      </c>
      <c r="AK68" s="223">
        <v>-1</v>
      </c>
      <c r="AL68" s="223">
        <v>-1</v>
      </c>
      <c r="AM68" s="223">
        <v>-1</v>
      </c>
      <c r="AN68" s="223">
        <v>-1</v>
      </c>
      <c r="AO68" s="223">
        <v>-1</v>
      </c>
      <c r="AP68" s="223">
        <v>-1</v>
      </c>
      <c r="AQ68" s="223">
        <v>-1</v>
      </c>
      <c r="AR68" s="223">
        <v>-1</v>
      </c>
      <c r="AS68" s="223">
        <v>-1</v>
      </c>
      <c r="AT68" s="223"/>
      <c r="AU68" s="223"/>
      <c r="AV68" s="223"/>
      <c r="AW68" s="223"/>
      <c r="AX68" s="223"/>
      <c r="AY68" s="223"/>
      <c r="AZ68" s="223"/>
      <c r="BA68" s="223"/>
      <c r="BB68" s="223"/>
      <c r="BC68" s="223"/>
      <c r="BD68" s="223"/>
      <c r="BE68" s="223"/>
      <c r="BF68" s="223"/>
      <c r="BG68" s="223"/>
      <c r="BH68" s="223"/>
      <c r="BI68" s="223"/>
      <c r="BJ68" s="223"/>
      <c r="BK68" s="223"/>
      <c r="BL68" s="223"/>
      <c r="BM68" s="223"/>
      <c r="BN68" s="223"/>
      <c r="BO68" s="185"/>
      <c r="BP68" s="185"/>
      <c r="BQ68" s="185"/>
      <c r="BR68" s="185"/>
      <c r="BS68" s="185"/>
    </row>
    <row r="69" spans="2:71" x14ac:dyDescent="0.2">
      <c r="B69" s="268" t="s">
        <v>4190</v>
      </c>
      <c r="C69" s="174">
        <f t="shared" si="57"/>
        <v>27</v>
      </c>
      <c r="D69" s="204">
        <f t="shared" si="58"/>
        <v>44.255466851787574</v>
      </c>
      <c r="E69" s="204">
        <f t="shared" si="59"/>
        <v>1.1240888580354067</v>
      </c>
      <c r="G69" s="185">
        <v>35</v>
      </c>
      <c r="H69" s="223">
        <v>-1</v>
      </c>
      <c r="I69" s="223">
        <v>-1</v>
      </c>
      <c r="J69" s="223">
        <v>-1</v>
      </c>
      <c r="K69" s="223">
        <v>-1</v>
      </c>
      <c r="L69" s="223">
        <v>-1</v>
      </c>
      <c r="M69" s="223">
        <v>-1</v>
      </c>
      <c r="N69" s="223">
        <v>-1</v>
      </c>
      <c r="O69" s="223">
        <v>-1</v>
      </c>
      <c r="P69" s="223">
        <v>-1</v>
      </c>
      <c r="Q69" s="223">
        <v>-1</v>
      </c>
      <c r="R69" s="223">
        <v>-1</v>
      </c>
      <c r="S69" s="223">
        <v>-1</v>
      </c>
      <c r="T69" s="223">
        <v>-1</v>
      </c>
      <c r="U69" s="223">
        <v>-1</v>
      </c>
      <c r="V69" s="223">
        <v>-1</v>
      </c>
      <c r="W69" s="223">
        <v>-1</v>
      </c>
      <c r="X69" s="223">
        <v>-1</v>
      </c>
      <c r="Y69" s="223">
        <v>-1</v>
      </c>
      <c r="Z69" s="223">
        <v>-1</v>
      </c>
      <c r="AA69" s="223">
        <v>-1</v>
      </c>
      <c r="AB69" s="223">
        <v>-1</v>
      </c>
      <c r="AC69" s="223">
        <v>-1</v>
      </c>
      <c r="AD69" s="223">
        <v>-1</v>
      </c>
      <c r="AE69" s="223">
        <v>-1</v>
      </c>
      <c r="AF69" s="223">
        <v>-1</v>
      </c>
      <c r="AG69" s="223">
        <v>-1</v>
      </c>
      <c r="AH69" s="223">
        <v>-1</v>
      </c>
      <c r="AI69" s="223">
        <v>-1</v>
      </c>
      <c r="AJ69" s="223">
        <v>-1</v>
      </c>
      <c r="AK69" s="223">
        <v>-1</v>
      </c>
      <c r="AL69" s="223">
        <v>-1</v>
      </c>
      <c r="AM69" s="223">
        <v>-1</v>
      </c>
      <c r="AN69" s="223">
        <v>-1</v>
      </c>
      <c r="AO69" s="223">
        <v>-1</v>
      </c>
      <c r="AP69" s="223">
        <v>-1</v>
      </c>
      <c r="AQ69" s="223">
        <v>-1</v>
      </c>
      <c r="AR69" s="223">
        <v>-1</v>
      </c>
      <c r="AS69" s="223">
        <v>-1</v>
      </c>
      <c r="AT69" s="223"/>
      <c r="AU69" s="223"/>
      <c r="AV69" s="223"/>
      <c r="AW69" s="223"/>
      <c r="AX69" s="223"/>
      <c r="AY69" s="223"/>
      <c r="AZ69" s="223"/>
      <c r="BA69" s="223"/>
      <c r="BB69" s="223"/>
      <c r="BC69" s="223"/>
      <c r="BD69" s="223"/>
      <c r="BE69" s="223"/>
      <c r="BF69" s="223"/>
      <c r="BG69" s="223"/>
      <c r="BH69" s="223"/>
      <c r="BI69" s="223"/>
      <c r="BJ69" s="223"/>
      <c r="BK69" s="223"/>
      <c r="BL69" s="223"/>
      <c r="BM69" s="223"/>
      <c r="BN69" s="223"/>
      <c r="BO69" s="185"/>
      <c r="BP69" s="185"/>
      <c r="BQ69" s="185"/>
      <c r="BR69" s="185"/>
      <c r="BS69" s="185"/>
    </row>
    <row r="70" spans="2:71" x14ac:dyDescent="0.2">
      <c r="B70" s="268" t="s">
        <v>4201</v>
      </c>
      <c r="C70" s="174">
        <f t="shared" si="57"/>
        <v>28</v>
      </c>
      <c r="D70" s="204">
        <f t="shared" si="58"/>
        <v>53.047033544228242</v>
      </c>
      <c r="E70" s="204">
        <f t="shared" si="59"/>
        <v>1.3473946520233966</v>
      </c>
      <c r="G70" s="185">
        <v>36</v>
      </c>
      <c r="H70" s="223">
        <v>-1</v>
      </c>
      <c r="I70" s="223">
        <v>-1</v>
      </c>
      <c r="J70" s="223">
        <v>-1</v>
      </c>
      <c r="K70" s="223">
        <v>-1</v>
      </c>
      <c r="L70" s="223">
        <v>-1</v>
      </c>
      <c r="M70" s="223">
        <v>-1</v>
      </c>
      <c r="N70" s="223">
        <v>-1</v>
      </c>
      <c r="O70" s="223">
        <v>-1</v>
      </c>
      <c r="P70" s="223">
        <v>-1</v>
      </c>
      <c r="Q70" s="223">
        <v>-1</v>
      </c>
      <c r="R70" s="223">
        <v>-1</v>
      </c>
      <c r="S70" s="223">
        <v>-1</v>
      </c>
      <c r="T70" s="223">
        <v>-1</v>
      </c>
      <c r="U70" s="223">
        <v>-1</v>
      </c>
      <c r="V70" s="223">
        <v>-1</v>
      </c>
      <c r="W70" s="223">
        <v>-1</v>
      </c>
      <c r="X70" s="223">
        <v>-1</v>
      </c>
      <c r="Y70" s="223">
        <v>-1</v>
      </c>
      <c r="Z70" s="223">
        <v>-1</v>
      </c>
      <c r="AA70" s="223">
        <v>-1</v>
      </c>
      <c r="AB70" s="223">
        <v>-1</v>
      </c>
      <c r="AC70" s="223">
        <v>-1</v>
      </c>
      <c r="AD70" s="223">
        <v>-1</v>
      </c>
      <c r="AE70" s="223">
        <v>-1</v>
      </c>
      <c r="AF70" s="223">
        <v>-1</v>
      </c>
      <c r="AG70" s="223">
        <v>-1</v>
      </c>
      <c r="AH70" s="223">
        <v>-1</v>
      </c>
      <c r="AI70" s="223">
        <v>-1</v>
      </c>
      <c r="AJ70" s="223">
        <v>-1</v>
      </c>
      <c r="AK70" s="223">
        <v>-1</v>
      </c>
      <c r="AL70" s="223">
        <v>-1</v>
      </c>
      <c r="AM70" s="223">
        <v>-1</v>
      </c>
      <c r="AN70" s="223">
        <v>-1</v>
      </c>
      <c r="AO70" s="223">
        <v>-1</v>
      </c>
      <c r="AP70" s="223">
        <v>-1</v>
      </c>
      <c r="AQ70" s="223">
        <v>-1</v>
      </c>
      <c r="AR70" s="223">
        <v>-1</v>
      </c>
      <c r="AS70" s="223">
        <v>-1</v>
      </c>
      <c r="AT70" s="223"/>
      <c r="AU70" s="223"/>
      <c r="AV70" s="223"/>
      <c r="AW70" s="223"/>
      <c r="AX70" s="223"/>
      <c r="AY70" s="223"/>
      <c r="AZ70" s="223"/>
      <c r="BA70" s="223"/>
      <c r="BB70" s="223"/>
      <c r="BC70" s="223"/>
      <c r="BD70" s="223"/>
      <c r="BE70" s="223"/>
      <c r="BF70" s="223"/>
      <c r="BG70" s="223"/>
      <c r="BH70" s="223"/>
      <c r="BI70" s="223"/>
      <c r="BJ70" s="223"/>
      <c r="BK70" s="223"/>
      <c r="BL70" s="223"/>
      <c r="BM70" s="223"/>
      <c r="BN70" s="223"/>
      <c r="BO70" s="185"/>
      <c r="BP70" s="185"/>
      <c r="BQ70" s="185"/>
      <c r="BR70" s="185"/>
      <c r="BS70" s="185"/>
    </row>
    <row r="71" spans="2:71" x14ac:dyDescent="0.2">
      <c r="B71" s="268" t="s">
        <v>4191</v>
      </c>
      <c r="C71" s="174">
        <f t="shared" si="57"/>
        <v>29</v>
      </c>
      <c r="D71" s="204">
        <f t="shared" si="58"/>
        <v>47.657952069716771</v>
      </c>
      <c r="E71" s="204">
        <f t="shared" si="59"/>
        <v>1.2105119825708073</v>
      </c>
      <c r="G71" s="185">
        <v>37</v>
      </c>
      <c r="H71" s="223">
        <v>-1</v>
      </c>
      <c r="I71" s="223">
        <v>-1</v>
      </c>
      <c r="J71" s="223">
        <v>-1</v>
      </c>
      <c r="K71" s="223">
        <v>-1</v>
      </c>
      <c r="L71" s="223">
        <v>-1</v>
      </c>
      <c r="M71" s="223">
        <v>-1</v>
      </c>
      <c r="N71" s="223">
        <v>-1</v>
      </c>
      <c r="O71" s="223">
        <v>-1</v>
      </c>
      <c r="P71" s="223">
        <v>-1</v>
      </c>
      <c r="Q71" s="223">
        <v>-1</v>
      </c>
      <c r="R71" s="223">
        <v>-1</v>
      </c>
      <c r="S71" s="223">
        <v>-1</v>
      </c>
      <c r="T71" s="223">
        <v>-1</v>
      </c>
      <c r="U71" s="223">
        <v>-1</v>
      </c>
      <c r="V71" s="223">
        <v>-1</v>
      </c>
      <c r="W71" s="223">
        <v>-1</v>
      </c>
      <c r="X71" s="223">
        <v>-1</v>
      </c>
      <c r="Y71" s="223">
        <v>-1</v>
      </c>
      <c r="Z71" s="223">
        <v>-1</v>
      </c>
      <c r="AA71" s="223">
        <v>-1</v>
      </c>
      <c r="AB71" s="223">
        <v>-1</v>
      </c>
      <c r="AC71" s="223">
        <v>-1</v>
      </c>
      <c r="AD71" s="223">
        <v>-1</v>
      </c>
      <c r="AE71" s="223">
        <v>-1</v>
      </c>
      <c r="AF71" s="223">
        <v>-1</v>
      </c>
      <c r="AG71" s="223">
        <v>-1</v>
      </c>
      <c r="AH71" s="223">
        <v>-1</v>
      </c>
      <c r="AI71" s="223">
        <v>-1</v>
      </c>
      <c r="AJ71" s="223">
        <v>-1</v>
      </c>
      <c r="AK71" s="223">
        <v>-1</v>
      </c>
      <c r="AL71" s="223">
        <v>-1</v>
      </c>
      <c r="AM71" s="223">
        <v>-1</v>
      </c>
      <c r="AN71" s="223">
        <v>-1</v>
      </c>
      <c r="AO71" s="223">
        <v>-1</v>
      </c>
      <c r="AP71" s="223">
        <v>-1</v>
      </c>
      <c r="AQ71" s="223">
        <v>-1</v>
      </c>
      <c r="AR71" s="223">
        <v>-1</v>
      </c>
      <c r="AS71" s="223">
        <v>-1</v>
      </c>
      <c r="AT71" s="223"/>
      <c r="AU71" s="223"/>
      <c r="AV71" s="223"/>
      <c r="AW71" s="223"/>
      <c r="AX71" s="223"/>
      <c r="AY71" s="223"/>
      <c r="AZ71" s="223"/>
      <c r="BA71" s="223"/>
      <c r="BB71" s="223"/>
      <c r="BC71" s="223"/>
      <c r="BD71" s="223"/>
      <c r="BE71" s="223"/>
      <c r="BF71" s="223"/>
      <c r="BG71" s="223"/>
      <c r="BH71" s="223"/>
      <c r="BI71" s="223"/>
      <c r="BJ71" s="223"/>
      <c r="BK71" s="223"/>
      <c r="BL71" s="223"/>
      <c r="BM71" s="223"/>
      <c r="BN71" s="223"/>
      <c r="BO71" s="185"/>
      <c r="BP71" s="185"/>
      <c r="BQ71" s="185"/>
      <c r="BR71" s="185"/>
      <c r="BS71" s="185"/>
    </row>
    <row r="72" spans="2:71" x14ac:dyDescent="0.2">
      <c r="B72" s="268" t="s">
        <v>4185</v>
      </c>
      <c r="C72" s="174">
        <f t="shared" si="57"/>
        <v>30</v>
      </c>
      <c r="D72" s="204">
        <f t="shared" si="58"/>
        <v>19.717624148003896</v>
      </c>
      <c r="E72" s="204">
        <f t="shared" si="59"/>
        <v>0.50082765335930191</v>
      </c>
      <c r="G72" s="185">
        <v>38</v>
      </c>
      <c r="H72" s="223">
        <v>-1</v>
      </c>
      <c r="I72" s="223">
        <v>-1</v>
      </c>
      <c r="J72" s="223">
        <v>-1</v>
      </c>
      <c r="K72" s="223">
        <v>-1</v>
      </c>
      <c r="L72" s="223">
        <v>-1</v>
      </c>
      <c r="M72" s="223">
        <v>-1</v>
      </c>
      <c r="N72" s="223">
        <v>-1</v>
      </c>
      <c r="O72" s="223">
        <v>-1</v>
      </c>
      <c r="P72" s="223">
        <v>-1</v>
      </c>
      <c r="Q72" s="223">
        <v>-1</v>
      </c>
      <c r="R72" s="223">
        <v>-1</v>
      </c>
      <c r="S72" s="223">
        <v>-1</v>
      </c>
      <c r="T72" s="223">
        <v>-1</v>
      </c>
      <c r="U72" s="223">
        <v>-1</v>
      </c>
      <c r="V72" s="223">
        <v>-1</v>
      </c>
      <c r="W72" s="223">
        <v>-1</v>
      </c>
      <c r="X72" s="223">
        <v>-1</v>
      </c>
      <c r="Y72" s="223">
        <v>-1</v>
      </c>
      <c r="Z72" s="223">
        <v>-1</v>
      </c>
      <c r="AA72" s="223">
        <v>-1</v>
      </c>
      <c r="AB72" s="223">
        <v>-1</v>
      </c>
      <c r="AC72" s="223">
        <v>-1</v>
      </c>
      <c r="AD72" s="223">
        <v>-1</v>
      </c>
      <c r="AE72" s="223">
        <v>-1</v>
      </c>
      <c r="AF72" s="223">
        <v>-1</v>
      </c>
      <c r="AG72" s="223">
        <v>-1</v>
      </c>
      <c r="AH72" s="223">
        <v>-1</v>
      </c>
      <c r="AI72" s="223">
        <v>-1</v>
      </c>
      <c r="AJ72" s="223">
        <v>-1</v>
      </c>
      <c r="AK72" s="223">
        <v>-1</v>
      </c>
      <c r="AL72" s="223">
        <v>-1</v>
      </c>
      <c r="AM72" s="223">
        <v>-1</v>
      </c>
      <c r="AN72" s="223">
        <v>-1</v>
      </c>
      <c r="AO72" s="223">
        <v>-1</v>
      </c>
      <c r="AP72" s="223">
        <v>-1</v>
      </c>
      <c r="AQ72" s="223">
        <v>-1</v>
      </c>
      <c r="AR72" s="223">
        <v>-1</v>
      </c>
      <c r="AS72" s="223">
        <v>-1</v>
      </c>
      <c r="AT72" s="223"/>
      <c r="AU72" s="223"/>
      <c r="AV72" s="223"/>
      <c r="AW72" s="223"/>
      <c r="AX72" s="223"/>
      <c r="AY72" s="223"/>
      <c r="AZ72" s="223"/>
      <c r="BA72" s="223"/>
      <c r="BB72" s="223"/>
      <c r="BC72" s="223"/>
      <c r="BD72" s="223"/>
      <c r="BE72" s="223"/>
      <c r="BF72" s="223"/>
      <c r="BG72" s="223"/>
      <c r="BH72" s="223"/>
      <c r="BI72" s="223"/>
      <c r="BJ72" s="223"/>
      <c r="BK72" s="223"/>
      <c r="BL72" s="223"/>
      <c r="BM72" s="223"/>
      <c r="BN72" s="223"/>
      <c r="BO72" s="185"/>
      <c r="BP72" s="185"/>
      <c r="BQ72" s="185"/>
      <c r="BR72" s="185"/>
      <c r="BS72" s="185"/>
    </row>
    <row r="73" spans="2:71" x14ac:dyDescent="0.2">
      <c r="B73" s="268" t="s">
        <v>4202</v>
      </c>
      <c r="C73" s="174">
        <f t="shared" si="57"/>
        <v>31</v>
      </c>
      <c r="D73" s="204">
        <f t="shared" si="58"/>
        <v>44.9154532644434</v>
      </c>
      <c r="E73" s="204">
        <f t="shared" si="59"/>
        <v>1.1408525129168652</v>
      </c>
      <c r="G73" s="185">
        <v>39</v>
      </c>
      <c r="H73" s="223">
        <v>-1</v>
      </c>
      <c r="I73" s="223">
        <v>-1</v>
      </c>
      <c r="J73" s="223">
        <v>-1</v>
      </c>
      <c r="K73" s="223">
        <v>-1</v>
      </c>
      <c r="L73" s="223">
        <v>-1</v>
      </c>
      <c r="M73" s="223">
        <v>-1</v>
      </c>
      <c r="N73" s="223">
        <v>-1</v>
      </c>
      <c r="O73" s="223">
        <v>-1</v>
      </c>
      <c r="P73" s="223">
        <v>-1</v>
      </c>
      <c r="Q73" s="223">
        <v>-1</v>
      </c>
      <c r="R73" s="223">
        <v>-1</v>
      </c>
      <c r="S73" s="223">
        <v>-1</v>
      </c>
      <c r="T73" s="223">
        <v>-1</v>
      </c>
      <c r="U73" s="223">
        <v>-1</v>
      </c>
      <c r="V73" s="223">
        <v>-1</v>
      </c>
      <c r="W73" s="223">
        <v>-1</v>
      </c>
      <c r="X73" s="223">
        <v>-1</v>
      </c>
      <c r="Y73" s="223">
        <v>-1</v>
      </c>
      <c r="Z73" s="223">
        <v>-1</v>
      </c>
      <c r="AA73" s="223">
        <v>-1</v>
      </c>
      <c r="AB73" s="223">
        <v>-1</v>
      </c>
      <c r="AC73" s="223">
        <v>-1</v>
      </c>
      <c r="AD73" s="223">
        <v>-1</v>
      </c>
      <c r="AE73" s="223">
        <v>-1</v>
      </c>
      <c r="AF73" s="223">
        <v>-1</v>
      </c>
      <c r="AG73" s="223">
        <v>-1</v>
      </c>
      <c r="AH73" s="223">
        <v>-1</v>
      </c>
      <c r="AI73" s="223">
        <v>-1</v>
      </c>
      <c r="AJ73" s="223">
        <v>-1</v>
      </c>
      <c r="AK73" s="223">
        <v>-1</v>
      </c>
      <c r="AL73" s="223">
        <v>-1</v>
      </c>
      <c r="AM73" s="223">
        <v>-1</v>
      </c>
      <c r="AN73" s="223">
        <v>-1</v>
      </c>
      <c r="AO73" s="223">
        <v>-1</v>
      </c>
      <c r="AP73" s="223">
        <v>-1</v>
      </c>
      <c r="AQ73" s="223">
        <v>-1</v>
      </c>
      <c r="AR73" s="223">
        <v>-1</v>
      </c>
      <c r="AS73" s="223">
        <v>-1</v>
      </c>
      <c r="AT73" s="223"/>
      <c r="AU73" s="223"/>
      <c r="AV73" s="223"/>
      <c r="AW73" s="223"/>
      <c r="AX73" s="223"/>
      <c r="AY73" s="223"/>
      <c r="AZ73" s="223"/>
      <c r="BA73" s="223"/>
      <c r="BB73" s="223"/>
      <c r="BC73" s="223"/>
      <c r="BD73" s="223"/>
      <c r="BE73" s="223"/>
      <c r="BF73" s="223"/>
      <c r="BG73" s="223"/>
      <c r="BH73" s="223"/>
      <c r="BI73" s="223"/>
      <c r="BJ73" s="223"/>
      <c r="BK73" s="223"/>
      <c r="BL73" s="223"/>
      <c r="BM73" s="223"/>
      <c r="BN73" s="223"/>
      <c r="BO73" s="185"/>
      <c r="BP73" s="185"/>
      <c r="BQ73" s="185"/>
      <c r="BR73" s="185"/>
      <c r="BS73" s="185"/>
    </row>
    <row r="74" spans="2:71" x14ac:dyDescent="0.2">
      <c r="B74" s="268" t="s">
        <v>4371</v>
      </c>
      <c r="C74" s="174">
        <f t="shared" si="57"/>
        <v>32</v>
      </c>
      <c r="D74" s="204">
        <f t="shared" si="58"/>
        <v>16.759336970205624</v>
      </c>
      <c r="E74" s="204">
        <f t="shared" si="59"/>
        <v>0.42568715904322296</v>
      </c>
      <c r="G74" s="185">
        <v>40</v>
      </c>
      <c r="H74" s="223">
        <v>-1</v>
      </c>
      <c r="I74" s="223">
        <v>-1</v>
      </c>
      <c r="J74" s="223">
        <v>-1</v>
      </c>
      <c r="K74" s="223">
        <v>-1</v>
      </c>
      <c r="L74" s="223">
        <v>-1</v>
      </c>
      <c r="M74" s="223">
        <v>-1</v>
      </c>
      <c r="N74" s="223">
        <v>-1</v>
      </c>
      <c r="O74" s="223">
        <v>-1</v>
      </c>
      <c r="P74" s="223">
        <v>-1</v>
      </c>
      <c r="Q74" s="223">
        <v>-1</v>
      </c>
      <c r="R74" s="223">
        <v>-1</v>
      </c>
      <c r="S74" s="223">
        <v>-1</v>
      </c>
      <c r="T74" s="223">
        <v>-1</v>
      </c>
      <c r="U74" s="223">
        <v>-1</v>
      </c>
      <c r="V74" s="223">
        <v>-1</v>
      </c>
      <c r="W74" s="223">
        <v>-1</v>
      </c>
      <c r="X74" s="223">
        <v>-1</v>
      </c>
      <c r="Y74" s="223">
        <v>-1</v>
      </c>
      <c r="Z74" s="223">
        <v>-1</v>
      </c>
      <c r="AA74" s="223">
        <v>-1</v>
      </c>
      <c r="AB74" s="223">
        <v>-1</v>
      </c>
      <c r="AC74" s="223">
        <v>-1</v>
      </c>
      <c r="AD74" s="223">
        <v>-1</v>
      </c>
      <c r="AE74" s="223">
        <v>-1</v>
      </c>
      <c r="AF74" s="223">
        <v>-1</v>
      </c>
      <c r="AG74" s="223">
        <v>-1</v>
      </c>
      <c r="AH74" s="223">
        <v>-1</v>
      </c>
      <c r="AI74" s="223">
        <v>-1</v>
      </c>
      <c r="AJ74" s="223">
        <v>-1</v>
      </c>
      <c r="AK74" s="223">
        <v>-1</v>
      </c>
      <c r="AL74" s="223">
        <v>-1</v>
      </c>
      <c r="AM74" s="223">
        <v>-1</v>
      </c>
      <c r="AN74" s="223">
        <v>-1</v>
      </c>
      <c r="AO74" s="223">
        <v>-1</v>
      </c>
      <c r="AP74" s="223">
        <v>-1</v>
      </c>
      <c r="AQ74" s="223">
        <v>-1</v>
      </c>
      <c r="AR74" s="223">
        <v>-1</v>
      </c>
      <c r="AS74" s="223">
        <v>-1</v>
      </c>
      <c r="AT74" s="223"/>
      <c r="AU74" s="223"/>
      <c r="AV74" s="223"/>
      <c r="AW74" s="223"/>
      <c r="AX74" s="223"/>
      <c r="AY74" s="223"/>
      <c r="AZ74" s="223"/>
      <c r="BA74" s="223"/>
      <c r="BB74" s="223"/>
      <c r="BC74" s="223"/>
      <c r="BD74" s="223"/>
      <c r="BE74" s="223"/>
      <c r="BF74" s="223"/>
      <c r="BG74" s="223"/>
      <c r="BH74" s="223"/>
      <c r="BI74" s="223"/>
      <c r="BJ74" s="223"/>
      <c r="BK74" s="223"/>
      <c r="BL74" s="223"/>
      <c r="BM74" s="223"/>
      <c r="BN74" s="223"/>
      <c r="BO74" s="185"/>
      <c r="BP74" s="185"/>
      <c r="BQ74" s="185"/>
      <c r="BR74" s="185"/>
      <c r="BS74" s="185"/>
    </row>
    <row r="75" spans="2:71" x14ac:dyDescent="0.2">
      <c r="B75" s="268" t="s">
        <v>4171</v>
      </c>
      <c r="C75" s="174">
        <f t="shared" si="57"/>
        <v>33</v>
      </c>
      <c r="D75" s="204">
        <f t="shared" si="58"/>
        <v>40.40667361835245</v>
      </c>
      <c r="E75" s="204">
        <f t="shared" si="59"/>
        <v>1.026329509906148</v>
      </c>
      <c r="G75" s="185">
        <v>41</v>
      </c>
      <c r="H75" s="223">
        <v>-1</v>
      </c>
      <c r="I75" s="223">
        <v>-1</v>
      </c>
      <c r="J75" s="223">
        <v>-1</v>
      </c>
      <c r="K75" s="223">
        <v>-1</v>
      </c>
      <c r="L75" s="223">
        <v>-1</v>
      </c>
      <c r="M75" s="223">
        <v>-1</v>
      </c>
      <c r="N75" s="223">
        <v>-1</v>
      </c>
      <c r="O75" s="223">
        <v>-1</v>
      </c>
      <c r="P75" s="223">
        <v>-1</v>
      </c>
      <c r="Q75" s="223">
        <v>-1</v>
      </c>
      <c r="R75" s="223">
        <v>-1</v>
      </c>
      <c r="S75" s="223">
        <v>-1</v>
      </c>
      <c r="T75" s="223">
        <v>-1</v>
      </c>
      <c r="U75" s="223">
        <v>-1</v>
      </c>
      <c r="V75" s="223">
        <v>-1</v>
      </c>
      <c r="W75" s="223">
        <v>-1</v>
      </c>
      <c r="X75" s="223">
        <v>-1</v>
      </c>
      <c r="Y75" s="223">
        <v>-1</v>
      </c>
      <c r="Z75" s="223">
        <v>-1</v>
      </c>
      <c r="AA75" s="223">
        <v>-1</v>
      </c>
      <c r="AB75" s="223">
        <v>-1</v>
      </c>
      <c r="AC75" s="223">
        <v>-1</v>
      </c>
      <c r="AD75" s="223">
        <v>-1</v>
      </c>
      <c r="AE75" s="223">
        <v>-1</v>
      </c>
      <c r="AF75" s="223">
        <v>-1</v>
      </c>
      <c r="AG75" s="223">
        <v>-1</v>
      </c>
      <c r="AH75" s="223">
        <v>-1</v>
      </c>
      <c r="AI75" s="223">
        <v>-1</v>
      </c>
      <c r="AJ75" s="223">
        <v>-1</v>
      </c>
      <c r="AK75" s="223">
        <v>-1</v>
      </c>
      <c r="AL75" s="223">
        <v>-1</v>
      </c>
      <c r="AM75" s="223">
        <v>-1</v>
      </c>
      <c r="AN75" s="223">
        <v>-1</v>
      </c>
      <c r="AO75" s="223">
        <v>-1</v>
      </c>
      <c r="AP75" s="223">
        <v>-1</v>
      </c>
      <c r="AQ75" s="223">
        <v>-1</v>
      </c>
      <c r="AR75" s="223">
        <v>-1</v>
      </c>
      <c r="AS75" s="223">
        <v>-1</v>
      </c>
      <c r="AT75" s="223"/>
      <c r="AU75" s="223"/>
      <c r="AV75" s="223"/>
      <c r="AW75" s="223"/>
      <c r="AX75" s="223"/>
      <c r="AY75" s="223"/>
      <c r="AZ75" s="223"/>
      <c r="BA75" s="223"/>
      <c r="BB75" s="223"/>
      <c r="BC75" s="223"/>
      <c r="BD75" s="223"/>
      <c r="BE75" s="223"/>
      <c r="BF75" s="223"/>
      <c r="BG75" s="223"/>
      <c r="BH75" s="223"/>
      <c r="BI75" s="223"/>
      <c r="BJ75" s="223"/>
      <c r="BK75" s="223"/>
      <c r="BL75" s="223"/>
      <c r="BM75" s="223"/>
      <c r="BN75" s="223"/>
      <c r="BO75" s="185"/>
      <c r="BP75" s="185"/>
      <c r="BQ75" s="185"/>
      <c r="BR75" s="185"/>
      <c r="BS75" s="185"/>
    </row>
    <row r="76" spans="2:71" x14ac:dyDescent="0.2">
      <c r="B76" s="268" t="s">
        <v>4192</v>
      </c>
      <c r="C76" s="174">
        <f t="shared" si="57"/>
        <v>34</v>
      </c>
      <c r="D76" s="204">
        <f t="shared" si="58"/>
        <v>45.575974635979328</v>
      </c>
      <c r="E76" s="204">
        <f t="shared" si="59"/>
        <v>1.1576297557538737</v>
      </c>
      <c r="G76" s="185">
        <v>42</v>
      </c>
      <c r="H76" s="223">
        <v>0</v>
      </c>
      <c r="I76" s="223">
        <v>0</v>
      </c>
      <c r="J76" s="223">
        <v>0</v>
      </c>
      <c r="K76" s="223">
        <v>0</v>
      </c>
      <c r="L76" s="223">
        <v>0</v>
      </c>
      <c r="M76" s="223">
        <v>0</v>
      </c>
      <c r="N76" s="223">
        <v>0</v>
      </c>
      <c r="O76" s="223">
        <v>0</v>
      </c>
      <c r="P76" s="223">
        <v>0</v>
      </c>
      <c r="Q76" s="223">
        <v>0</v>
      </c>
      <c r="R76" s="223">
        <v>0</v>
      </c>
      <c r="S76" s="223">
        <v>0</v>
      </c>
      <c r="T76" s="223">
        <v>0</v>
      </c>
      <c r="U76" s="223">
        <v>0</v>
      </c>
      <c r="V76" s="223">
        <v>0</v>
      </c>
      <c r="W76" s="223">
        <v>0</v>
      </c>
      <c r="X76" s="223">
        <v>0</v>
      </c>
      <c r="Y76" s="223">
        <v>0</v>
      </c>
      <c r="Z76" s="223">
        <v>0</v>
      </c>
      <c r="AA76" s="223">
        <v>0</v>
      </c>
      <c r="AB76" s="223">
        <v>0</v>
      </c>
      <c r="AC76" s="223">
        <v>0</v>
      </c>
      <c r="AD76" s="223">
        <v>0</v>
      </c>
      <c r="AE76" s="223">
        <v>0</v>
      </c>
      <c r="AF76" s="223">
        <v>0</v>
      </c>
      <c r="AG76" s="223">
        <v>0</v>
      </c>
      <c r="AH76" s="223">
        <v>0</v>
      </c>
      <c r="AI76" s="223">
        <v>0</v>
      </c>
      <c r="AJ76" s="223">
        <v>0</v>
      </c>
      <c r="AK76" s="223">
        <v>0</v>
      </c>
      <c r="AL76" s="223">
        <v>0</v>
      </c>
      <c r="AM76" s="223">
        <v>0</v>
      </c>
      <c r="AN76" s="223">
        <v>0</v>
      </c>
      <c r="AO76" s="223">
        <v>0</v>
      </c>
      <c r="AP76" s="223">
        <v>0</v>
      </c>
      <c r="AQ76" s="223">
        <v>0</v>
      </c>
      <c r="AR76" s="223">
        <v>0</v>
      </c>
      <c r="AS76" s="223">
        <v>0</v>
      </c>
      <c r="AT76" s="223"/>
      <c r="AU76" s="223"/>
      <c r="AV76" s="223"/>
      <c r="AW76" s="223"/>
      <c r="AX76" s="223"/>
      <c r="AY76" s="223"/>
      <c r="AZ76" s="223"/>
      <c r="BA76" s="223"/>
      <c r="BB76" s="223"/>
      <c r="BC76" s="223"/>
      <c r="BD76" s="223"/>
      <c r="BE76" s="223"/>
      <c r="BF76" s="223"/>
      <c r="BG76" s="223"/>
      <c r="BH76" s="223"/>
      <c r="BI76" s="223"/>
      <c r="BJ76" s="223"/>
      <c r="BK76" s="223"/>
      <c r="BL76" s="223"/>
      <c r="BM76" s="223"/>
      <c r="BN76" s="223"/>
      <c r="BO76" s="185"/>
      <c r="BP76" s="185"/>
      <c r="BQ76" s="185"/>
      <c r="BR76" s="185"/>
      <c r="BS76" s="185"/>
    </row>
    <row r="77" spans="2:71" x14ac:dyDescent="0.2">
      <c r="B77" s="268" t="s">
        <v>4203</v>
      </c>
      <c r="C77" s="174">
        <f t="shared" si="57"/>
        <v>35</v>
      </c>
      <c r="D77" s="204">
        <f t="shared" si="58"/>
        <v>48.745724059293046</v>
      </c>
      <c r="E77" s="204">
        <f t="shared" si="59"/>
        <v>1.2381413911060548</v>
      </c>
      <c r="G77" s="185">
        <v>43</v>
      </c>
      <c r="H77" s="223">
        <v>0</v>
      </c>
      <c r="I77" s="223">
        <v>0</v>
      </c>
      <c r="J77" s="223">
        <v>0</v>
      </c>
      <c r="K77" s="223">
        <v>0</v>
      </c>
      <c r="L77" s="223">
        <v>0</v>
      </c>
      <c r="M77" s="223">
        <v>0</v>
      </c>
      <c r="N77" s="223">
        <v>0</v>
      </c>
      <c r="O77" s="223">
        <v>0</v>
      </c>
      <c r="P77" s="223">
        <v>0</v>
      </c>
      <c r="Q77" s="223">
        <v>0</v>
      </c>
      <c r="R77" s="223">
        <v>0</v>
      </c>
      <c r="S77" s="223">
        <v>0</v>
      </c>
      <c r="T77" s="223">
        <v>0</v>
      </c>
      <c r="U77" s="223">
        <v>0</v>
      </c>
      <c r="V77" s="223">
        <v>0</v>
      </c>
      <c r="W77" s="223">
        <v>0</v>
      </c>
      <c r="X77" s="223">
        <v>0</v>
      </c>
      <c r="Y77" s="223">
        <v>0</v>
      </c>
      <c r="Z77" s="223">
        <v>0</v>
      </c>
      <c r="AA77" s="223">
        <v>0</v>
      </c>
      <c r="AB77" s="223">
        <v>0</v>
      </c>
      <c r="AC77" s="223">
        <v>0</v>
      </c>
      <c r="AD77" s="223">
        <v>0</v>
      </c>
      <c r="AE77" s="223">
        <v>0</v>
      </c>
      <c r="AF77" s="223">
        <v>0</v>
      </c>
      <c r="AG77" s="223">
        <v>0</v>
      </c>
      <c r="AH77" s="223">
        <v>0</v>
      </c>
      <c r="AI77" s="223">
        <v>0</v>
      </c>
      <c r="AJ77" s="223">
        <v>0</v>
      </c>
      <c r="AK77" s="223">
        <v>0</v>
      </c>
      <c r="AL77" s="223">
        <v>0</v>
      </c>
      <c r="AM77" s="223">
        <v>0</v>
      </c>
      <c r="AN77" s="223">
        <v>0</v>
      </c>
      <c r="AO77" s="223">
        <v>0</v>
      </c>
      <c r="AP77" s="223">
        <v>0</v>
      </c>
      <c r="AQ77" s="223">
        <v>0</v>
      </c>
      <c r="AR77" s="223">
        <v>0</v>
      </c>
      <c r="AS77" s="223">
        <v>0</v>
      </c>
      <c r="AT77" s="223"/>
      <c r="AU77" s="223"/>
      <c r="AV77" s="223"/>
      <c r="AW77" s="223"/>
      <c r="AX77" s="223"/>
      <c r="AY77" s="223"/>
      <c r="AZ77" s="223"/>
      <c r="BA77" s="223"/>
      <c r="BB77" s="223"/>
      <c r="BC77" s="223"/>
      <c r="BD77" s="223"/>
      <c r="BE77" s="223"/>
      <c r="BF77" s="223"/>
      <c r="BG77" s="223"/>
      <c r="BH77" s="223"/>
      <c r="BI77" s="223"/>
      <c r="BJ77" s="223"/>
      <c r="BK77" s="223"/>
      <c r="BL77" s="223"/>
      <c r="BM77" s="223"/>
      <c r="BN77" s="223"/>
      <c r="BO77" s="185"/>
      <c r="BP77" s="185"/>
      <c r="BQ77" s="185"/>
      <c r="BR77" s="185"/>
      <c r="BS77" s="185"/>
    </row>
    <row r="78" spans="2:71" x14ac:dyDescent="0.2">
      <c r="B78" s="268" t="s">
        <v>4377</v>
      </c>
      <c r="C78" s="174">
        <f t="shared" si="57"/>
        <v>36</v>
      </c>
      <c r="D78" s="204">
        <f t="shared" si="58"/>
        <v>49.792975442604231</v>
      </c>
      <c r="E78" s="204">
        <f t="shared" si="59"/>
        <v>1.2647415762421446</v>
      </c>
      <c r="G78" s="185">
        <v>44</v>
      </c>
      <c r="H78" s="223">
        <v>0</v>
      </c>
      <c r="I78" s="223">
        <v>0</v>
      </c>
      <c r="J78" s="223">
        <v>0</v>
      </c>
      <c r="K78" s="223">
        <v>0</v>
      </c>
      <c r="L78" s="223">
        <v>0</v>
      </c>
      <c r="M78" s="223">
        <v>0</v>
      </c>
      <c r="N78" s="223">
        <v>0</v>
      </c>
      <c r="O78" s="223">
        <v>0</v>
      </c>
      <c r="P78" s="223">
        <v>0</v>
      </c>
      <c r="Q78" s="223">
        <v>0</v>
      </c>
      <c r="R78" s="223">
        <v>0</v>
      </c>
      <c r="S78" s="223">
        <v>0</v>
      </c>
      <c r="T78" s="223">
        <v>0</v>
      </c>
      <c r="U78" s="223">
        <v>0</v>
      </c>
      <c r="V78" s="223">
        <v>0</v>
      </c>
      <c r="W78" s="223">
        <v>0</v>
      </c>
      <c r="X78" s="223">
        <v>0</v>
      </c>
      <c r="Y78" s="223">
        <v>0</v>
      </c>
      <c r="Z78" s="223">
        <v>0</v>
      </c>
      <c r="AA78" s="223">
        <v>0</v>
      </c>
      <c r="AB78" s="223">
        <v>0</v>
      </c>
      <c r="AC78" s="223">
        <v>0</v>
      </c>
      <c r="AD78" s="223">
        <v>0</v>
      </c>
      <c r="AE78" s="223">
        <v>0</v>
      </c>
      <c r="AF78" s="223">
        <v>0</v>
      </c>
      <c r="AG78" s="223">
        <v>0</v>
      </c>
      <c r="AH78" s="223">
        <v>0</v>
      </c>
      <c r="AI78" s="223">
        <v>0</v>
      </c>
      <c r="AJ78" s="223">
        <v>0</v>
      </c>
      <c r="AK78" s="223">
        <v>0</v>
      </c>
      <c r="AL78" s="223">
        <v>0</v>
      </c>
      <c r="AM78" s="223">
        <v>0</v>
      </c>
      <c r="AN78" s="223">
        <v>0</v>
      </c>
      <c r="AO78" s="223">
        <v>0</v>
      </c>
      <c r="AP78" s="223">
        <v>0</v>
      </c>
      <c r="AQ78" s="223">
        <v>0</v>
      </c>
      <c r="AR78" s="223">
        <v>0</v>
      </c>
      <c r="AS78" s="223">
        <v>0</v>
      </c>
      <c r="AT78" s="223"/>
      <c r="AU78" s="223"/>
      <c r="AV78" s="223"/>
      <c r="AW78" s="223"/>
      <c r="AX78" s="223"/>
      <c r="AY78" s="223"/>
      <c r="AZ78" s="223"/>
      <c r="BA78" s="223"/>
      <c r="BB78" s="223"/>
      <c r="BC78" s="223"/>
      <c r="BD78" s="223"/>
      <c r="BE78" s="223"/>
      <c r="BF78" s="223"/>
      <c r="BG78" s="223"/>
      <c r="BH78" s="223"/>
      <c r="BI78" s="223"/>
      <c r="BJ78" s="223"/>
      <c r="BK78" s="223"/>
      <c r="BL78" s="223"/>
      <c r="BM78" s="223"/>
      <c r="BN78" s="223"/>
      <c r="BO78" s="185"/>
      <c r="BP78" s="185"/>
      <c r="BQ78" s="185"/>
      <c r="BR78" s="185"/>
      <c r="BS78" s="185"/>
    </row>
    <row r="79" spans="2:71" x14ac:dyDescent="0.2">
      <c r="B79" s="268" t="s">
        <v>4204</v>
      </c>
      <c r="C79" s="174">
        <f t="shared" si="57"/>
        <v>37</v>
      </c>
      <c r="D79" s="204">
        <f t="shared" si="58"/>
        <v>41.049030786773088</v>
      </c>
      <c r="E79" s="204">
        <f t="shared" si="59"/>
        <v>1.0426453819840305</v>
      </c>
      <c r="G79" s="185">
        <v>45</v>
      </c>
      <c r="H79" s="223">
        <v>0</v>
      </c>
      <c r="I79" s="223">
        <v>0</v>
      </c>
      <c r="J79" s="223">
        <v>0</v>
      </c>
      <c r="K79" s="223">
        <v>0</v>
      </c>
      <c r="L79" s="223">
        <v>0</v>
      </c>
      <c r="M79" s="223">
        <v>0</v>
      </c>
      <c r="N79" s="223">
        <v>0</v>
      </c>
      <c r="O79" s="223">
        <v>0</v>
      </c>
      <c r="P79" s="223">
        <v>0</v>
      </c>
      <c r="Q79" s="223">
        <v>0</v>
      </c>
      <c r="R79" s="223">
        <v>0</v>
      </c>
      <c r="S79" s="223">
        <v>0</v>
      </c>
      <c r="T79" s="223">
        <v>0</v>
      </c>
      <c r="U79" s="223">
        <v>0</v>
      </c>
      <c r="V79" s="223">
        <v>0</v>
      </c>
      <c r="W79" s="223">
        <v>0</v>
      </c>
      <c r="X79" s="223">
        <v>0</v>
      </c>
      <c r="Y79" s="223">
        <v>0</v>
      </c>
      <c r="Z79" s="223">
        <v>0</v>
      </c>
      <c r="AA79" s="223">
        <v>0</v>
      </c>
      <c r="AB79" s="223">
        <v>0</v>
      </c>
      <c r="AC79" s="223">
        <v>0</v>
      </c>
      <c r="AD79" s="223">
        <v>0</v>
      </c>
      <c r="AE79" s="223">
        <v>0</v>
      </c>
      <c r="AF79" s="223">
        <v>0</v>
      </c>
      <c r="AG79" s="223">
        <v>0</v>
      </c>
      <c r="AH79" s="223">
        <v>0</v>
      </c>
      <c r="AI79" s="223">
        <v>0</v>
      </c>
      <c r="AJ79" s="223">
        <v>0</v>
      </c>
      <c r="AK79" s="223">
        <v>0</v>
      </c>
      <c r="AL79" s="223">
        <v>0</v>
      </c>
      <c r="AM79" s="223">
        <v>0</v>
      </c>
      <c r="AN79" s="223">
        <v>0</v>
      </c>
      <c r="AO79" s="223">
        <v>0</v>
      </c>
      <c r="AP79" s="223">
        <v>0</v>
      </c>
      <c r="AQ79" s="223">
        <v>0</v>
      </c>
      <c r="AR79" s="223">
        <v>0</v>
      </c>
      <c r="AS79" s="223">
        <v>0</v>
      </c>
      <c r="AT79" s="223"/>
      <c r="AU79" s="223"/>
      <c r="AV79" s="223"/>
      <c r="AW79" s="223"/>
      <c r="AX79" s="223"/>
      <c r="AY79" s="223"/>
      <c r="AZ79" s="223"/>
      <c r="BA79" s="223"/>
      <c r="BB79" s="223"/>
      <c r="BC79" s="223"/>
      <c r="BD79" s="223"/>
      <c r="BE79" s="223"/>
      <c r="BF79" s="223"/>
      <c r="BG79" s="223"/>
      <c r="BH79" s="223"/>
      <c r="BI79" s="223"/>
      <c r="BJ79" s="223"/>
      <c r="BK79" s="223"/>
      <c r="BL79" s="223"/>
      <c r="BM79" s="223"/>
      <c r="BN79" s="223"/>
      <c r="BO79" s="185"/>
      <c r="BP79" s="185"/>
      <c r="BQ79" s="185"/>
      <c r="BR79" s="185"/>
      <c r="BS79" s="185"/>
    </row>
    <row r="80" spans="2:71" x14ac:dyDescent="0.2">
      <c r="B80" s="268" t="s">
        <v>4180</v>
      </c>
      <c r="C80" s="174">
        <f t="shared" si="57"/>
        <v>38</v>
      </c>
      <c r="D80" s="204">
        <f t="shared" si="58"/>
        <v>39.103232533889468</v>
      </c>
      <c r="E80" s="204">
        <f t="shared" si="59"/>
        <v>0.99322210636078978</v>
      </c>
      <c r="G80" s="185">
        <v>46</v>
      </c>
      <c r="H80" s="223">
        <v>0</v>
      </c>
      <c r="I80" s="223">
        <v>0</v>
      </c>
      <c r="J80" s="223">
        <v>0</v>
      </c>
      <c r="K80" s="223">
        <v>0</v>
      </c>
      <c r="L80" s="223">
        <v>0</v>
      </c>
      <c r="M80" s="223">
        <v>0</v>
      </c>
      <c r="N80" s="223">
        <v>0</v>
      </c>
      <c r="O80" s="223">
        <v>0</v>
      </c>
      <c r="P80" s="223">
        <v>0</v>
      </c>
      <c r="Q80" s="223">
        <v>0</v>
      </c>
      <c r="R80" s="223">
        <v>0</v>
      </c>
      <c r="S80" s="223">
        <v>0</v>
      </c>
      <c r="T80" s="223">
        <v>0</v>
      </c>
      <c r="U80" s="223">
        <v>0</v>
      </c>
      <c r="V80" s="223">
        <v>0</v>
      </c>
      <c r="W80" s="223">
        <v>0</v>
      </c>
      <c r="X80" s="223">
        <v>0</v>
      </c>
      <c r="Y80" s="223">
        <v>0</v>
      </c>
      <c r="Z80" s="223">
        <v>0</v>
      </c>
      <c r="AA80" s="223">
        <v>0</v>
      </c>
      <c r="AB80" s="223">
        <v>0</v>
      </c>
      <c r="AC80" s="223">
        <v>0</v>
      </c>
      <c r="AD80" s="223">
        <v>0</v>
      </c>
      <c r="AE80" s="223">
        <v>0</v>
      </c>
      <c r="AF80" s="223">
        <v>0</v>
      </c>
      <c r="AG80" s="223">
        <v>0</v>
      </c>
      <c r="AH80" s="223">
        <v>0</v>
      </c>
      <c r="AI80" s="223">
        <v>0</v>
      </c>
      <c r="AJ80" s="223">
        <v>0</v>
      </c>
      <c r="AK80" s="223">
        <v>0</v>
      </c>
      <c r="AL80" s="223">
        <v>0</v>
      </c>
      <c r="AM80" s="223">
        <v>0</v>
      </c>
      <c r="AN80" s="223">
        <v>0</v>
      </c>
      <c r="AO80" s="223">
        <v>0</v>
      </c>
      <c r="AP80" s="223">
        <v>0</v>
      </c>
      <c r="AQ80" s="223">
        <v>0</v>
      </c>
      <c r="AR80" s="223">
        <v>0</v>
      </c>
      <c r="AS80" s="223">
        <v>0</v>
      </c>
      <c r="AT80" s="223"/>
      <c r="AU80" s="223"/>
      <c r="AV80" s="223"/>
      <c r="AW80" s="223"/>
      <c r="AX80" s="223"/>
      <c r="AY80" s="223"/>
      <c r="AZ80" s="223"/>
      <c r="BA80" s="223"/>
      <c r="BB80" s="223"/>
      <c r="BC80" s="223"/>
      <c r="BD80" s="223"/>
      <c r="BE80" s="223"/>
      <c r="BF80" s="223"/>
      <c r="BG80" s="223"/>
      <c r="BH80" s="223"/>
      <c r="BI80" s="223"/>
      <c r="BJ80" s="223"/>
      <c r="BK80" s="223"/>
      <c r="BL80" s="223"/>
      <c r="BM80" s="223"/>
      <c r="BN80" s="223"/>
      <c r="BO80" s="185"/>
      <c r="BP80" s="185"/>
      <c r="BQ80" s="185"/>
      <c r="BR80" s="185"/>
      <c r="BS80" s="185"/>
    </row>
    <row r="81" spans="2:71" x14ac:dyDescent="0.2">
      <c r="B81" s="268" t="s">
        <v>4173</v>
      </c>
      <c r="C81" s="174">
        <f t="shared" si="57"/>
        <v>39</v>
      </c>
      <c r="D81" s="204">
        <f t="shared" si="58"/>
        <v>39.103232533889468</v>
      </c>
      <c r="E81" s="204">
        <f t="shared" si="59"/>
        <v>0.99322210636078978</v>
      </c>
      <c r="G81" s="185">
        <v>47</v>
      </c>
      <c r="H81" s="223">
        <v>0</v>
      </c>
      <c r="I81" s="223">
        <v>0</v>
      </c>
      <c r="J81" s="223">
        <v>0</v>
      </c>
      <c r="K81" s="223">
        <v>0</v>
      </c>
      <c r="L81" s="223">
        <v>0</v>
      </c>
      <c r="M81" s="223">
        <v>0</v>
      </c>
      <c r="N81" s="223">
        <v>0</v>
      </c>
      <c r="O81" s="223">
        <v>0</v>
      </c>
      <c r="P81" s="223">
        <v>0</v>
      </c>
      <c r="Q81" s="223">
        <v>0</v>
      </c>
      <c r="R81" s="223">
        <v>0</v>
      </c>
      <c r="S81" s="223">
        <v>0</v>
      </c>
      <c r="T81" s="223">
        <v>0</v>
      </c>
      <c r="U81" s="223">
        <v>0</v>
      </c>
      <c r="V81" s="223">
        <v>0</v>
      </c>
      <c r="W81" s="223">
        <v>0</v>
      </c>
      <c r="X81" s="223">
        <v>0</v>
      </c>
      <c r="Y81" s="223">
        <v>0</v>
      </c>
      <c r="Z81" s="223">
        <v>0</v>
      </c>
      <c r="AA81" s="223">
        <v>0</v>
      </c>
      <c r="AB81" s="223">
        <v>0</v>
      </c>
      <c r="AC81" s="223">
        <v>0</v>
      </c>
      <c r="AD81" s="223">
        <v>0</v>
      </c>
      <c r="AE81" s="223">
        <v>0</v>
      </c>
      <c r="AF81" s="223">
        <v>0</v>
      </c>
      <c r="AG81" s="223">
        <v>0</v>
      </c>
      <c r="AH81" s="223">
        <v>0</v>
      </c>
      <c r="AI81" s="223">
        <v>0</v>
      </c>
      <c r="AJ81" s="223">
        <v>0</v>
      </c>
      <c r="AK81" s="223">
        <v>0</v>
      </c>
      <c r="AL81" s="223">
        <v>0</v>
      </c>
      <c r="AM81" s="223">
        <v>0</v>
      </c>
      <c r="AN81" s="223">
        <v>0</v>
      </c>
      <c r="AO81" s="223">
        <v>0</v>
      </c>
      <c r="AP81" s="223">
        <v>0</v>
      </c>
      <c r="AQ81" s="223">
        <v>0</v>
      </c>
      <c r="AR81" s="223">
        <v>0</v>
      </c>
      <c r="AS81" s="223">
        <v>0</v>
      </c>
      <c r="AT81" s="223"/>
      <c r="AU81" s="223"/>
      <c r="AV81" s="223"/>
      <c r="AW81" s="223"/>
      <c r="AX81" s="223"/>
      <c r="AY81" s="223"/>
      <c r="AZ81" s="223"/>
      <c r="BA81" s="223"/>
      <c r="BB81" s="223"/>
      <c r="BC81" s="223"/>
      <c r="BD81" s="223"/>
      <c r="BE81" s="223"/>
      <c r="BF81" s="223"/>
      <c r="BG81" s="223"/>
      <c r="BH81" s="223"/>
      <c r="BI81" s="223"/>
      <c r="BJ81" s="223"/>
      <c r="BK81" s="223"/>
      <c r="BL81" s="223"/>
      <c r="BM81" s="223"/>
      <c r="BN81" s="223"/>
      <c r="BO81" s="185"/>
      <c r="BP81" s="185"/>
      <c r="BQ81" s="185"/>
      <c r="BR81" s="185"/>
      <c r="BS81" s="185"/>
    </row>
    <row r="82" spans="2:71" x14ac:dyDescent="0.2">
      <c r="D82" s="204"/>
      <c r="E82" s="204"/>
      <c r="G82" s="185">
        <v>48</v>
      </c>
      <c r="H82" s="223">
        <v>0</v>
      </c>
      <c r="I82" s="223">
        <v>0</v>
      </c>
      <c r="J82" s="223">
        <v>0</v>
      </c>
      <c r="K82" s="223">
        <v>0</v>
      </c>
      <c r="L82" s="223">
        <v>0</v>
      </c>
      <c r="M82" s="223">
        <v>0</v>
      </c>
      <c r="N82" s="223">
        <v>0</v>
      </c>
      <c r="O82" s="223">
        <v>0</v>
      </c>
      <c r="P82" s="223">
        <v>0</v>
      </c>
      <c r="Q82" s="223">
        <v>0</v>
      </c>
      <c r="R82" s="223">
        <v>0</v>
      </c>
      <c r="S82" s="223">
        <v>0</v>
      </c>
      <c r="T82" s="223">
        <v>0</v>
      </c>
      <c r="U82" s="223">
        <v>0</v>
      </c>
      <c r="V82" s="223">
        <v>0</v>
      </c>
      <c r="W82" s="223">
        <v>0</v>
      </c>
      <c r="X82" s="223">
        <v>0</v>
      </c>
      <c r="Y82" s="223">
        <v>0</v>
      </c>
      <c r="Z82" s="223">
        <v>0</v>
      </c>
      <c r="AA82" s="223">
        <v>0</v>
      </c>
      <c r="AB82" s="223">
        <v>0</v>
      </c>
      <c r="AC82" s="223">
        <v>0</v>
      </c>
      <c r="AD82" s="223">
        <v>0</v>
      </c>
      <c r="AE82" s="223">
        <v>0</v>
      </c>
      <c r="AF82" s="223">
        <v>0</v>
      </c>
      <c r="AG82" s="223">
        <v>0</v>
      </c>
      <c r="AH82" s="223">
        <v>0</v>
      </c>
      <c r="AI82" s="223">
        <v>0</v>
      </c>
      <c r="AJ82" s="223">
        <v>0</v>
      </c>
      <c r="AK82" s="223">
        <v>0</v>
      </c>
      <c r="AL82" s="223">
        <v>0</v>
      </c>
      <c r="AM82" s="223">
        <v>0</v>
      </c>
      <c r="AN82" s="223">
        <v>0</v>
      </c>
      <c r="AO82" s="223">
        <v>0</v>
      </c>
      <c r="AP82" s="223">
        <v>0</v>
      </c>
      <c r="AQ82" s="223">
        <v>0</v>
      </c>
      <c r="AR82" s="223">
        <v>0</v>
      </c>
      <c r="AS82" s="223">
        <v>0</v>
      </c>
      <c r="AT82" s="223"/>
      <c r="AU82" s="223"/>
      <c r="AV82" s="223"/>
      <c r="AW82" s="223"/>
      <c r="AX82" s="223"/>
      <c r="AY82" s="223"/>
      <c r="AZ82" s="223"/>
      <c r="BA82" s="223"/>
      <c r="BB82" s="223"/>
      <c r="BC82" s="223"/>
      <c r="BD82" s="223"/>
      <c r="BE82" s="223"/>
      <c r="BF82" s="223"/>
      <c r="BG82" s="223"/>
      <c r="BH82" s="223"/>
      <c r="BI82" s="223"/>
      <c r="BJ82" s="223"/>
      <c r="BK82" s="223"/>
      <c r="BL82" s="223"/>
      <c r="BM82" s="223"/>
      <c r="BN82" s="223"/>
      <c r="BO82" s="185"/>
      <c r="BP82" s="185"/>
      <c r="BQ82" s="185"/>
      <c r="BR82" s="185"/>
      <c r="BS82" s="185"/>
    </row>
    <row r="83" spans="2:71" x14ac:dyDescent="0.2">
      <c r="D83" s="204"/>
      <c r="E83" s="204"/>
      <c r="G83" s="185">
        <v>49</v>
      </c>
      <c r="H83" s="223">
        <v>0</v>
      </c>
      <c r="I83" s="223">
        <v>0</v>
      </c>
      <c r="J83" s="223">
        <v>0</v>
      </c>
      <c r="K83" s="223">
        <v>0</v>
      </c>
      <c r="L83" s="223">
        <v>0</v>
      </c>
      <c r="M83" s="223">
        <v>0</v>
      </c>
      <c r="N83" s="223">
        <v>0</v>
      </c>
      <c r="O83" s="223">
        <v>0</v>
      </c>
      <c r="P83" s="223">
        <v>0</v>
      </c>
      <c r="Q83" s="223">
        <v>0</v>
      </c>
      <c r="R83" s="223">
        <v>0</v>
      </c>
      <c r="S83" s="223">
        <v>0</v>
      </c>
      <c r="T83" s="223">
        <v>0</v>
      </c>
      <c r="U83" s="223">
        <v>0</v>
      </c>
      <c r="V83" s="223">
        <v>0</v>
      </c>
      <c r="W83" s="223">
        <v>0</v>
      </c>
      <c r="X83" s="223">
        <v>0</v>
      </c>
      <c r="Y83" s="223">
        <v>0</v>
      </c>
      <c r="Z83" s="223">
        <v>0</v>
      </c>
      <c r="AA83" s="223">
        <v>0</v>
      </c>
      <c r="AB83" s="223">
        <v>0</v>
      </c>
      <c r="AC83" s="223">
        <v>0</v>
      </c>
      <c r="AD83" s="223">
        <v>0</v>
      </c>
      <c r="AE83" s="223">
        <v>0</v>
      </c>
      <c r="AF83" s="223">
        <v>0</v>
      </c>
      <c r="AG83" s="223">
        <v>0</v>
      </c>
      <c r="AH83" s="223">
        <v>0</v>
      </c>
      <c r="AI83" s="223">
        <v>0</v>
      </c>
      <c r="AJ83" s="223">
        <v>0</v>
      </c>
      <c r="AK83" s="223">
        <v>0</v>
      </c>
      <c r="AL83" s="223">
        <v>0</v>
      </c>
      <c r="AM83" s="223">
        <v>0</v>
      </c>
      <c r="AN83" s="223">
        <v>0</v>
      </c>
      <c r="AO83" s="223">
        <v>0</v>
      </c>
      <c r="AP83" s="223">
        <v>0</v>
      </c>
      <c r="AQ83" s="223">
        <v>0</v>
      </c>
      <c r="AR83" s="223">
        <v>0</v>
      </c>
      <c r="AS83" s="223">
        <v>0</v>
      </c>
      <c r="AT83" s="223"/>
      <c r="AU83" s="223"/>
      <c r="AV83" s="223"/>
      <c r="AW83" s="223"/>
      <c r="AX83" s="223"/>
      <c r="AY83" s="223"/>
      <c r="AZ83" s="223"/>
      <c r="BA83" s="223"/>
      <c r="BB83" s="223"/>
      <c r="BC83" s="223"/>
      <c r="BD83" s="223"/>
      <c r="BE83" s="223"/>
      <c r="BF83" s="223"/>
      <c r="BG83" s="223"/>
      <c r="BH83" s="223"/>
      <c r="BI83" s="223"/>
      <c r="BJ83" s="223"/>
      <c r="BK83" s="223"/>
      <c r="BL83" s="223"/>
      <c r="BM83" s="223"/>
      <c r="BN83" s="223"/>
      <c r="BO83" s="185"/>
      <c r="BP83" s="185"/>
      <c r="BQ83" s="185"/>
      <c r="BR83" s="185"/>
      <c r="BS83" s="185"/>
    </row>
    <row r="84" spans="2:71" x14ac:dyDescent="0.2">
      <c r="D84" s="204"/>
      <c r="E84" s="204"/>
      <c r="G84" s="185">
        <v>50</v>
      </c>
      <c r="H84" s="223">
        <v>0</v>
      </c>
      <c r="I84" s="223">
        <v>0</v>
      </c>
      <c r="J84" s="223">
        <v>0</v>
      </c>
      <c r="K84" s="223">
        <v>0</v>
      </c>
      <c r="L84" s="223">
        <v>0</v>
      </c>
      <c r="M84" s="223">
        <v>0</v>
      </c>
      <c r="N84" s="223">
        <v>0</v>
      </c>
      <c r="O84" s="223">
        <v>0</v>
      </c>
      <c r="P84" s="223">
        <v>0</v>
      </c>
      <c r="Q84" s="223">
        <v>0</v>
      </c>
      <c r="R84" s="223">
        <v>0</v>
      </c>
      <c r="S84" s="223">
        <v>0</v>
      </c>
      <c r="T84" s="223">
        <v>0</v>
      </c>
      <c r="U84" s="223">
        <v>0</v>
      </c>
      <c r="V84" s="223">
        <v>0</v>
      </c>
      <c r="W84" s="223">
        <v>0</v>
      </c>
      <c r="X84" s="223">
        <v>0</v>
      </c>
      <c r="Y84" s="223">
        <v>0</v>
      </c>
      <c r="Z84" s="223">
        <v>0</v>
      </c>
      <c r="AA84" s="223">
        <v>0</v>
      </c>
      <c r="AB84" s="223">
        <v>0</v>
      </c>
      <c r="AC84" s="223">
        <v>0</v>
      </c>
      <c r="AD84" s="223">
        <v>0</v>
      </c>
      <c r="AE84" s="223">
        <v>0</v>
      </c>
      <c r="AF84" s="223">
        <v>0</v>
      </c>
      <c r="AG84" s="223">
        <v>0</v>
      </c>
      <c r="AH84" s="223">
        <v>0</v>
      </c>
      <c r="AI84" s="223">
        <v>0</v>
      </c>
      <c r="AJ84" s="223">
        <v>0</v>
      </c>
      <c r="AK84" s="223">
        <v>0</v>
      </c>
      <c r="AL84" s="223">
        <v>0</v>
      </c>
      <c r="AM84" s="223">
        <v>0</v>
      </c>
      <c r="AN84" s="223">
        <v>0</v>
      </c>
      <c r="AO84" s="223">
        <v>0</v>
      </c>
      <c r="AP84" s="223">
        <v>0</v>
      </c>
      <c r="AQ84" s="223">
        <v>0</v>
      </c>
      <c r="AR84" s="223">
        <v>0</v>
      </c>
      <c r="AS84" s="223">
        <v>0</v>
      </c>
      <c r="AT84" s="223"/>
      <c r="AU84" s="223"/>
      <c r="AV84" s="223"/>
      <c r="AW84" s="223"/>
      <c r="AX84" s="223"/>
      <c r="AY84" s="223"/>
      <c r="AZ84" s="223"/>
      <c r="BA84" s="223"/>
      <c r="BB84" s="223"/>
      <c r="BC84" s="223"/>
      <c r="BD84" s="223"/>
      <c r="BE84" s="223"/>
      <c r="BF84" s="223"/>
      <c r="BG84" s="223"/>
      <c r="BH84" s="223"/>
      <c r="BI84" s="223"/>
      <c r="BJ84" s="223"/>
      <c r="BK84" s="223"/>
      <c r="BL84" s="223"/>
      <c r="BM84" s="223"/>
      <c r="BN84" s="223"/>
      <c r="BO84" s="185"/>
      <c r="BP84" s="185"/>
      <c r="BQ84" s="185"/>
      <c r="BR84" s="185"/>
      <c r="BS84" s="185"/>
    </row>
    <row r="85" spans="2:71" x14ac:dyDescent="0.2">
      <c r="D85" s="204"/>
      <c r="E85" s="204"/>
      <c r="G85" s="185">
        <v>51</v>
      </c>
      <c r="H85" s="223">
        <v>0</v>
      </c>
      <c r="I85" s="223">
        <v>0</v>
      </c>
      <c r="J85" s="223">
        <v>0</v>
      </c>
      <c r="K85" s="223">
        <v>0</v>
      </c>
      <c r="L85" s="223">
        <v>0</v>
      </c>
      <c r="M85" s="223">
        <v>0</v>
      </c>
      <c r="N85" s="223">
        <v>0</v>
      </c>
      <c r="O85" s="223">
        <v>0</v>
      </c>
      <c r="P85" s="223">
        <v>0</v>
      </c>
      <c r="Q85" s="223">
        <v>0</v>
      </c>
      <c r="R85" s="223">
        <v>0</v>
      </c>
      <c r="S85" s="223">
        <v>0</v>
      </c>
      <c r="T85" s="223">
        <v>0</v>
      </c>
      <c r="U85" s="223">
        <v>0</v>
      </c>
      <c r="V85" s="223">
        <v>0</v>
      </c>
      <c r="W85" s="223">
        <v>0</v>
      </c>
      <c r="X85" s="223">
        <v>0</v>
      </c>
      <c r="Y85" s="223">
        <v>0</v>
      </c>
      <c r="Z85" s="223">
        <v>0</v>
      </c>
      <c r="AA85" s="223">
        <v>0</v>
      </c>
      <c r="AB85" s="223">
        <v>0</v>
      </c>
      <c r="AC85" s="223">
        <v>0</v>
      </c>
      <c r="AD85" s="223">
        <v>0</v>
      </c>
      <c r="AE85" s="223">
        <v>0</v>
      </c>
      <c r="AF85" s="223">
        <v>0</v>
      </c>
      <c r="AG85" s="223">
        <v>0</v>
      </c>
      <c r="AH85" s="223">
        <v>0</v>
      </c>
      <c r="AI85" s="223">
        <v>0</v>
      </c>
      <c r="AJ85" s="223">
        <v>0</v>
      </c>
      <c r="AK85" s="223">
        <v>0</v>
      </c>
      <c r="AL85" s="223">
        <v>0</v>
      </c>
      <c r="AM85" s="223">
        <v>0</v>
      </c>
      <c r="AN85" s="223">
        <v>0</v>
      </c>
      <c r="AO85" s="223">
        <v>0</v>
      </c>
      <c r="AP85" s="223">
        <v>0</v>
      </c>
      <c r="AQ85" s="223">
        <v>0</v>
      </c>
      <c r="AR85" s="223">
        <v>0</v>
      </c>
      <c r="AS85" s="223">
        <v>0</v>
      </c>
      <c r="AT85" s="223"/>
      <c r="AU85" s="223"/>
      <c r="AV85" s="223"/>
      <c r="AW85" s="223"/>
      <c r="AX85" s="223"/>
      <c r="AY85" s="223"/>
      <c r="AZ85" s="223"/>
      <c r="BA85" s="223"/>
      <c r="BB85" s="223"/>
      <c r="BC85" s="223"/>
      <c r="BD85" s="223"/>
      <c r="BE85" s="223"/>
      <c r="BF85" s="223"/>
      <c r="BG85" s="223"/>
      <c r="BH85" s="223"/>
      <c r="BI85" s="223"/>
      <c r="BJ85" s="223"/>
      <c r="BK85" s="223"/>
      <c r="BL85" s="223"/>
      <c r="BM85" s="223"/>
      <c r="BN85" s="223"/>
      <c r="BO85" s="185"/>
      <c r="BP85" s="185"/>
      <c r="BQ85" s="185"/>
      <c r="BR85" s="185"/>
      <c r="BS85" s="185"/>
    </row>
    <row r="86" spans="2:71" x14ac:dyDescent="0.2">
      <c r="D86" s="204"/>
      <c r="E86" s="204"/>
      <c r="G86" s="185">
        <v>52</v>
      </c>
      <c r="H86" s="223">
        <v>0</v>
      </c>
      <c r="I86" s="223">
        <v>0</v>
      </c>
      <c r="J86" s="223">
        <v>0</v>
      </c>
      <c r="K86" s="223">
        <v>0</v>
      </c>
      <c r="L86" s="223">
        <v>0</v>
      </c>
      <c r="M86" s="223">
        <v>0</v>
      </c>
      <c r="N86" s="223">
        <v>0</v>
      </c>
      <c r="O86" s="223">
        <v>0</v>
      </c>
      <c r="P86" s="223">
        <v>0</v>
      </c>
      <c r="Q86" s="223">
        <v>0</v>
      </c>
      <c r="R86" s="223">
        <v>0</v>
      </c>
      <c r="S86" s="223">
        <v>0</v>
      </c>
      <c r="T86" s="223">
        <v>0</v>
      </c>
      <c r="U86" s="223">
        <v>0</v>
      </c>
      <c r="V86" s="223">
        <v>0</v>
      </c>
      <c r="W86" s="223">
        <v>0</v>
      </c>
      <c r="X86" s="223">
        <v>0</v>
      </c>
      <c r="Y86" s="223">
        <v>0</v>
      </c>
      <c r="Z86" s="223">
        <v>0</v>
      </c>
      <c r="AA86" s="223">
        <v>0</v>
      </c>
      <c r="AB86" s="223">
        <v>0</v>
      </c>
      <c r="AC86" s="223">
        <v>0</v>
      </c>
      <c r="AD86" s="223">
        <v>0</v>
      </c>
      <c r="AE86" s="223">
        <v>0</v>
      </c>
      <c r="AF86" s="223">
        <v>0</v>
      </c>
      <c r="AG86" s="223">
        <v>0</v>
      </c>
      <c r="AH86" s="223">
        <v>0</v>
      </c>
      <c r="AI86" s="223">
        <v>0</v>
      </c>
      <c r="AJ86" s="223">
        <v>0</v>
      </c>
      <c r="AK86" s="223">
        <v>0</v>
      </c>
      <c r="AL86" s="223">
        <v>0</v>
      </c>
      <c r="AM86" s="223">
        <v>0</v>
      </c>
      <c r="AN86" s="223">
        <v>0</v>
      </c>
      <c r="AO86" s="223">
        <v>0</v>
      </c>
      <c r="AP86" s="223">
        <v>0</v>
      </c>
      <c r="AQ86" s="223">
        <v>0</v>
      </c>
      <c r="AR86" s="223">
        <v>0</v>
      </c>
      <c r="AS86" s="223">
        <v>0</v>
      </c>
      <c r="AT86" s="223"/>
      <c r="AU86" s="223"/>
      <c r="AV86" s="223"/>
      <c r="AW86" s="223"/>
      <c r="AX86" s="223"/>
      <c r="AY86" s="223"/>
      <c r="AZ86" s="223"/>
      <c r="BA86" s="223"/>
      <c r="BB86" s="223"/>
      <c r="BC86" s="223"/>
      <c r="BD86" s="223"/>
      <c r="BE86" s="223"/>
      <c r="BF86" s="223"/>
      <c r="BG86" s="223"/>
      <c r="BH86" s="223"/>
      <c r="BI86" s="223"/>
      <c r="BJ86" s="223"/>
      <c r="BK86" s="223"/>
      <c r="BL86" s="223"/>
      <c r="BM86" s="223"/>
      <c r="BN86" s="223"/>
      <c r="BO86" s="185"/>
      <c r="BP86" s="185"/>
      <c r="BQ86" s="185"/>
      <c r="BR86" s="185"/>
      <c r="BS86" s="185"/>
    </row>
    <row r="87" spans="2:71" x14ac:dyDescent="0.2">
      <c r="D87" s="204"/>
      <c r="E87" s="204"/>
      <c r="G87" s="185">
        <v>53</v>
      </c>
      <c r="H87" s="223">
        <v>0</v>
      </c>
      <c r="I87" s="223">
        <v>0</v>
      </c>
      <c r="J87" s="223">
        <v>0</v>
      </c>
      <c r="K87" s="223">
        <v>0</v>
      </c>
      <c r="L87" s="223">
        <v>0</v>
      </c>
      <c r="M87" s="223">
        <v>0</v>
      </c>
      <c r="N87" s="223">
        <v>0</v>
      </c>
      <c r="O87" s="223">
        <v>0</v>
      </c>
      <c r="P87" s="223">
        <v>0</v>
      </c>
      <c r="Q87" s="223">
        <v>0</v>
      </c>
      <c r="R87" s="223">
        <v>0</v>
      </c>
      <c r="S87" s="223">
        <v>0</v>
      </c>
      <c r="T87" s="223">
        <v>0</v>
      </c>
      <c r="U87" s="223">
        <v>0</v>
      </c>
      <c r="V87" s="223">
        <v>0</v>
      </c>
      <c r="W87" s="223">
        <v>0</v>
      </c>
      <c r="X87" s="223">
        <v>0</v>
      </c>
      <c r="Y87" s="223">
        <v>0</v>
      </c>
      <c r="Z87" s="223">
        <v>0</v>
      </c>
      <c r="AA87" s="223">
        <v>0</v>
      </c>
      <c r="AB87" s="223">
        <v>0</v>
      </c>
      <c r="AC87" s="223">
        <v>0</v>
      </c>
      <c r="AD87" s="223">
        <v>0</v>
      </c>
      <c r="AE87" s="223">
        <v>0</v>
      </c>
      <c r="AF87" s="223">
        <v>0</v>
      </c>
      <c r="AG87" s="223">
        <v>0</v>
      </c>
      <c r="AH87" s="223">
        <v>0</v>
      </c>
      <c r="AI87" s="223">
        <v>0</v>
      </c>
      <c r="AJ87" s="223">
        <v>0</v>
      </c>
      <c r="AK87" s="223">
        <v>0</v>
      </c>
      <c r="AL87" s="223">
        <v>0</v>
      </c>
      <c r="AM87" s="223">
        <v>0</v>
      </c>
      <c r="AN87" s="223">
        <v>0</v>
      </c>
      <c r="AO87" s="223">
        <v>0</v>
      </c>
      <c r="AP87" s="223">
        <v>0</v>
      </c>
      <c r="AQ87" s="223">
        <v>0</v>
      </c>
      <c r="AR87" s="223">
        <v>0</v>
      </c>
      <c r="AS87" s="223">
        <v>0</v>
      </c>
      <c r="AT87" s="223"/>
      <c r="AU87" s="223"/>
      <c r="AV87" s="223"/>
      <c r="AW87" s="223"/>
      <c r="AX87" s="223"/>
      <c r="AY87" s="223"/>
      <c r="AZ87" s="223"/>
      <c r="BA87" s="223"/>
      <c r="BB87" s="223"/>
      <c r="BC87" s="223"/>
      <c r="BD87" s="223"/>
      <c r="BE87" s="223"/>
      <c r="BF87" s="223"/>
      <c r="BG87" s="223"/>
      <c r="BH87" s="223"/>
      <c r="BI87" s="223"/>
      <c r="BJ87" s="223"/>
      <c r="BK87" s="223"/>
      <c r="BL87" s="223"/>
      <c r="BM87" s="223"/>
      <c r="BN87" s="223"/>
      <c r="BO87" s="185"/>
      <c r="BP87" s="185"/>
      <c r="BQ87" s="185"/>
      <c r="BR87" s="185"/>
      <c r="BS87" s="185"/>
    </row>
    <row r="88" spans="2:71" x14ac:dyDescent="0.2">
      <c r="D88" s="204"/>
      <c r="E88" s="204"/>
      <c r="G88" s="185">
        <v>54</v>
      </c>
      <c r="H88" s="223">
        <v>0</v>
      </c>
      <c r="I88" s="223">
        <v>0</v>
      </c>
      <c r="J88" s="223">
        <v>0</v>
      </c>
      <c r="K88" s="223">
        <v>0</v>
      </c>
      <c r="L88" s="223">
        <v>0</v>
      </c>
      <c r="M88" s="223">
        <v>0</v>
      </c>
      <c r="N88" s="223">
        <v>0</v>
      </c>
      <c r="O88" s="223">
        <v>0</v>
      </c>
      <c r="P88" s="223">
        <v>0</v>
      </c>
      <c r="Q88" s="223">
        <v>0</v>
      </c>
      <c r="R88" s="223">
        <v>0</v>
      </c>
      <c r="S88" s="223">
        <v>0</v>
      </c>
      <c r="T88" s="223">
        <v>0</v>
      </c>
      <c r="U88" s="223">
        <v>0</v>
      </c>
      <c r="V88" s="223">
        <v>0</v>
      </c>
      <c r="W88" s="223">
        <v>0</v>
      </c>
      <c r="X88" s="223">
        <v>0</v>
      </c>
      <c r="Y88" s="223">
        <v>0</v>
      </c>
      <c r="Z88" s="223">
        <v>0</v>
      </c>
      <c r="AA88" s="223">
        <v>0</v>
      </c>
      <c r="AB88" s="223">
        <v>0</v>
      </c>
      <c r="AC88" s="223">
        <v>0</v>
      </c>
      <c r="AD88" s="223">
        <v>0</v>
      </c>
      <c r="AE88" s="223">
        <v>0</v>
      </c>
      <c r="AF88" s="223">
        <v>0</v>
      </c>
      <c r="AG88" s="223">
        <v>0</v>
      </c>
      <c r="AH88" s="223">
        <v>0</v>
      </c>
      <c r="AI88" s="223">
        <v>0</v>
      </c>
      <c r="AJ88" s="223">
        <v>0</v>
      </c>
      <c r="AK88" s="223">
        <v>0</v>
      </c>
      <c r="AL88" s="223">
        <v>0</v>
      </c>
      <c r="AM88" s="223">
        <v>0</v>
      </c>
      <c r="AN88" s="223">
        <v>0</v>
      </c>
      <c r="AO88" s="223">
        <v>0</v>
      </c>
      <c r="AP88" s="223">
        <v>0</v>
      </c>
      <c r="AQ88" s="223">
        <v>0</v>
      </c>
      <c r="AR88" s="223">
        <v>0</v>
      </c>
      <c r="AS88" s="223">
        <v>0</v>
      </c>
      <c r="AT88" s="223"/>
      <c r="AU88" s="223"/>
      <c r="AV88" s="223"/>
      <c r="AW88" s="223"/>
      <c r="AX88" s="223"/>
      <c r="AY88" s="223"/>
      <c r="AZ88" s="223"/>
      <c r="BA88" s="223"/>
      <c r="BB88" s="223"/>
      <c r="BC88" s="223"/>
      <c r="BD88" s="223"/>
      <c r="BE88" s="223"/>
      <c r="BF88" s="223"/>
      <c r="BG88" s="223"/>
      <c r="BH88" s="223"/>
      <c r="BI88" s="223"/>
      <c r="BJ88" s="223"/>
      <c r="BK88" s="223"/>
      <c r="BL88" s="223"/>
      <c r="BM88" s="223"/>
      <c r="BN88" s="223"/>
      <c r="BO88" s="185"/>
      <c r="BP88" s="185"/>
      <c r="BQ88" s="185"/>
      <c r="BR88" s="185"/>
      <c r="BS88" s="185"/>
    </row>
    <row r="89" spans="2:71" x14ac:dyDescent="0.2">
      <c r="D89" s="204"/>
      <c r="E89" s="204"/>
      <c r="G89" s="185">
        <v>55</v>
      </c>
      <c r="H89" s="223">
        <v>0</v>
      </c>
      <c r="I89" s="223">
        <v>0</v>
      </c>
      <c r="J89" s="223">
        <v>0</v>
      </c>
      <c r="K89" s="223">
        <v>0</v>
      </c>
      <c r="L89" s="223">
        <v>0</v>
      </c>
      <c r="M89" s="223">
        <v>0</v>
      </c>
      <c r="N89" s="223">
        <v>0</v>
      </c>
      <c r="O89" s="223">
        <v>0</v>
      </c>
      <c r="P89" s="223">
        <v>0</v>
      </c>
      <c r="Q89" s="223">
        <v>0</v>
      </c>
      <c r="R89" s="223">
        <v>0</v>
      </c>
      <c r="S89" s="223">
        <v>0</v>
      </c>
      <c r="T89" s="223">
        <v>0</v>
      </c>
      <c r="U89" s="223">
        <v>0</v>
      </c>
      <c r="V89" s="223">
        <v>0</v>
      </c>
      <c r="W89" s="223">
        <v>0</v>
      </c>
      <c r="X89" s="223">
        <v>0</v>
      </c>
      <c r="Y89" s="223">
        <v>0</v>
      </c>
      <c r="Z89" s="223">
        <v>0</v>
      </c>
      <c r="AA89" s="223">
        <v>0</v>
      </c>
      <c r="AB89" s="223">
        <v>0</v>
      </c>
      <c r="AC89" s="223">
        <v>0</v>
      </c>
      <c r="AD89" s="223">
        <v>0</v>
      </c>
      <c r="AE89" s="223">
        <v>0</v>
      </c>
      <c r="AF89" s="223">
        <v>0</v>
      </c>
      <c r="AG89" s="223">
        <v>0</v>
      </c>
      <c r="AH89" s="223">
        <v>0</v>
      </c>
      <c r="AI89" s="223">
        <v>0</v>
      </c>
      <c r="AJ89" s="223">
        <v>0</v>
      </c>
      <c r="AK89" s="223">
        <v>0</v>
      </c>
      <c r="AL89" s="223">
        <v>0</v>
      </c>
      <c r="AM89" s="223">
        <v>0</v>
      </c>
      <c r="AN89" s="223">
        <v>0</v>
      </c>
      <c r="AO89" s="223">
        <v>0</v>
      </c>
      <c r="AP89" s="223">
        <v>0</v>
      </c>
      <c r="AQ89" s="223">
        <v>0</v>
      </c>
      <c r="AR89" s="223">
        <v>0</v>
      </c>
      <c r="AS89" s="223">
        <v>0</v>
      </c>
      <c r="AT89" s="223"/>
      <c r="AU89" s="223"/>
      <c r="AV89" s="223"/>
      <c r="AW89" s="223"/>
      <c r="AX89" s="223"/>
      <c r="AY89" s="223"/>
      <c r="AZ89" s="223"/>
      <c r="BA89" s="223"/>
      <c r="BB89" s="223"/>
      <c r="BC89" s="223"/>
      <c r="BD89" s="223"/>
      <c r="BE89" s="223"/>
      <c r="BF89" s="223"/>
      <c r="BG89" s="223"/>
      <c r="BH89" s="223"/>
      <c r="BI89" s="223"/>
      <c r="BJ89" s="223"/>
      <c r="BK89" s="223"/>
      <c r="BL89" s="223"/>
      <c r="BM89" s="223"/>
      <c r="BN89" s="223"/>
      <c r="BO89" s="185"/>
      <c r="BP89" s="185"/>
      <c r="BQ89" s="185"/>
      <c r="BR89" s="185"/>
      <c r="BS89" s="185"/>
    </row>
    <row r="90" spans="2:71" x14ac:dyDescent="0.2">
      <c r="D90" s="204"/>
      <c r="E90" s="204"/>
      <c r="G90" s="185">
        <v>56</v>
      </c>
      <c r="H90" s="223">
        <v>0</v>
      </c>
      <c r="I90" s="223">
        <v>0</v>
      </c>
      <c r="J90" s="223">
        <v>0</v>
      </c>
      <c r="K90" s="223">
        <v>0</v>
      </c>
      <c r="L90" s="223">
        <v>0</v>
      </c>
      <c r="M90" s="223">
        <v>0</v>
      </c>
      <c r="N90" s="223">
        <v>0</v>
      </c>
      <c r="O90" s="223">
        <v>0</v>
      </c>
      <c r="P90" s="223">
        <v>0</v>
      </c>
      <c r="Q90" s="223">
        <v>0</v>
      </c>
      <c r="R90" s="223">
        <v>0</v>
      </c>
      <c r="S90" s="223">
        <v>0</v>
      </c>
      <c r="T90" s="223">
        <v>0</v>
      </c>
      <c r="U90" s="223">
        <v>0</v>
      </c>
      <c r="V90" s="223">
        <v>0</v>
      </c>
      <c r="W90" s="223">
        <v>0</v>
      </c>
      <c r="X90" s="223">
        <v>0</v>
      </c>
      <c r="Y90" s="223">
        <v>0</v>
      </c>
      <c r="Z90" s="223">
        <v>0</v>
      </c>
      <c r="AA90" s="223">
        <v>0</v>
      </c>
      <c r="AB90" s="223">
        <v>0</v>
      </c>
      <c r="AC90" s="223">
        <v>0</v>
      </c>
      <c r="AD90" s="223">
        <v>0</v>
      </c>
      <c r="AE90" s="223">
        <v>0</v>
      </c>
      <c r="AF90" s="223">
        <v>0</v>
      </c>
      <c r="AG90" s="223">
        <v>0</v>
      </c>
      <c r="AH90" s="223">
        <v>0</v>
      </c>
      <c r="AI90" s="223">
        <v>0</v>
      </c>
      <c r="AJ90" s="223">
        <v>0</v>
      </c>
      <c r="AK90" s="223">
        <v>0</v>
      </c>
      <c r="AL90" s="223">
        <v>0</v>
      </c>
      <c r="AM90" s="223">
        <v>0</v>
      </c>
      <c r="AN90" s="223">
        <v>0</v>
      </c>
      <c r="AO90" s="223">
        <v>0</v>
      </c>
      <c r="AP90" s="223">
        <v>0</v>
      </c>
      <c r="AQ90" s="223">
        <v>0</v>
      </c>
      <c r="AR90" s="223">
        <v>0</v>
      </c>
      <c r="AS90" s="223">
        <v>0</v>
      </c>
      <c r="AT90" s="223"/>
      <c r="AU90" s="223"/>
      <c r="AV90" s="223"/>
      <c r="AW90" s="223"/>
      <c r="AX90" s="223"/>
      <c r="AY90" s="223"/>
      <c r="AZ90" s="223"/>
      <c r="BA90" s="223"/>
      <c r="BB90" s="223"/>
      <c r="BC90" s="223"/>
      <c r="BD90" s="223"/>
      <c r="BE90" s="223"/>
      <c r="BF90" s="223"/>
      <c r="BG90" s="223"/>
      <c r="BH90" s="223"/>
      <c r="BI90" s="223"/>
      <c r="BJ90" s="223"/>
      <c r="BK90" s="223"/>
      <c r="BL90" s="223"/>
      <c r="BM90" s="223"/>
      <c r="BN90" s="223"/>
      <c r="BO90" s="185"/>
      <c r="BP90" s="185"/>
      <c r="BQ90" s="185"/>
      <c r="BR90" s="185"/>
      <c r="BS90" s="185"/>
    </row>
    <row r="91" spans="2:71" x14ac:dyDescent="0.2">
      <c r="D91" s="204"/>
      <c r="E91" s="204"/>
      <c r="G91" s="185">
        <v>57</v>
      </c>
      <c r="H91" s="223">
        <v>0</v>
      </c>
      <c r="I91" s="223">
        <v>0</v>
      </c>
      <c r="J91" s="223">
        <v>0</v>
      </c>
      <c r="K91" s="223">
        <v>0</v>
      </c>
      <c r="L91" s="223">
        <v>0</v>
      </c>
      <c r="M91" s="223">
        <v>0</v>
      </c>
      <c r="N91" s="223">
        <v>0</v>
      </c>
      <c r="O91" s="223">
        <v>0</v>
      </c>
      <c r="P91" s="223">
        <v>0</v>
      </c>
      <c r="Q91" s="223">
        <v>0</v>
      </c>
      <c r="R91" s="223">
        <v>0</v>
      </c>
      <c r="S91" s="223">
        <v>0</v>
      </c>
      <c r="T91" s="223">
        <v>0</v>
      </c>
      <c r="U91" s="223">
        <v>0</v>
      </c>
      <c r="V91" s="223">
        <v>0</v>
      </c>
      <c r="W91" s="223">
        <v>0</v>
      </c>
      <c r="X91" s="223">
        <v>0</v>
      </c>
      <c r="Y91" s="223">
        <v>0</v>
      </c>
      <c r="Z91" s="223">
        <v>0</v>
      </c>
      <c r="AA91" s="223">
        <v>0</v>
      </c>
      <c r="AB91" s="223">
        <v>0</v>
      </c>
      <c r="AC91" s="223">
        <v>0</v>
      </c>
      <c r="AD91" s="223">
        <v>0</v>
      </c>
      <c r="AE91" s="223">
        <v>0</v>
      </c>
      <c r="AF91" s="223">
        <v>0</v>
      </c>
      <c r="AG91" s="223">
        <v>0</v>
      </c>
      <c r="AH91" s="223">
        <v>0</v>
      </c>
      <c r="AI91" s="223">
        <v>0</v>
      </c>
      <c r="AJ91" s="223">
        <v>0</v>
      </c>
      <c r="AK91" s="223">
        <v>0</v>
      </c>
      <c r="AL91" s="223">
        <v>0</v>
      </c>
      <c r="AM91" s="223">
        <v>0</v>
      </c>
      <c r="AN91" s="223">
        <v>0</v>
      </c>
      <c r="AO91" s="223">
        <v>0</v>
      </c>
      <c r="AP91" s="223">
        <v>0</v>
      </c>
      <c r="AQ91" s="223">
        <v>0</v>
      </c>
      <c r="AR91" s="223">
        <v>0</v>
      </c>
      <c r="AS91" s="223">
        <v>0</v>
      </c>
      <c r="AT91" s="223"/>
      <c r="AU91" s="223"/>
      <c r="AV91" s="223"/>
      <c r="AW91" s="223"/>
      <c r="AX91" s="223"/>
      <c r="AY91" s="223"/>
      <c r="AZ91" s="223"/>
      <c r="BA91" s="223"/>
      <c r="BB91" s="223"/>
      <c r="BC91" s="223"/>
      <c r="BD91" s="223"/>
      <c r="BE91" s="223"/>
      <c r="BF91" s="223"/>
      <c r="BG91" s="223"/>
      <c r="BH91" s="223"/>
      <c r="BI91" s="223"/>
      <c r="BJ91" s="223"/>
      <c r="BK91" s="223"/>
      <c r="BL91" s="223"/>
      <c r="BM91" s="223"/>
      <c r="BN91" s="223"/>
      <c r="BO91" s="185"/>
      <c r="BP91" s="185"/>
      <c r="BQ91" s="185"/>
      <c r="BR91" s="185"/>
      <c r="BS91" s="185"/>
    </row>
    <row r="92" spans="2:71" x14ac:dyDescent="0.2">
      <c r="D92" s="204"/>
      <c r="E92" s="204"/>
      <c r="G92" s="185">
        <v>58</v>
      </c>
      <c r="H92" s="223">
        <v>0</v>
      </c>
      <c r="I92" s="223">
        <v>0</v>
      </c>
      <c r="J92" s="223">
        <v>0</v>
      </c>
      <c r="K92" s="223">
        <v>0</v>
      </c>
      <c r="L92" s="223">
        <v>0</v>
      </c>
      <c r="M92" s="223">
        <v>0</v>
      </c>
      <c r="N92" s="223">
        <v>0</v>
      </c>
      <c r="O92" s="223">
        <v>0</v>
      </c>
      <c r="P92" s="223">
        <v>0</v>
      </c>
      <c r="Q92" s="223">
        <v>0</v>
      </c>
      <c r="R92" s="223">
        <v>0</v>
      </c>
      <c r="S92" s="223">
        <v>0</v>
      </c>
      <c r="T92" s="223">
        <v>0</v>
      </c>
      <c r="U92" s="223">
        <v>0</v>
      </c>
      <c r="V92" s="223">
        <v>0</v>
      </c>
      <c r="W92" s="223">
        <v>0</v>
      </c>
      <c r="X92" s="223">
        <v>0</v>
      </c>
      <c r="Y92" s="223">
        <v>0</v>
      </c>
      <c r="Z92" s="223">
        <v>0</v>
      </c>
      <c r="AA92" s="223">
        <v>0</v>
      </c>
      <c r="AB92" s="223">
        <v>0</v>
      </c>
      <c r="AC92" s="223">
        <v>0</v>
      </c>
      <c r="AD92" s="223">
        <v>0</v>
      </c>
      <c r="AE92" s="223">
        <v>0</v>
      </c>
      <c r="AF92" s="223">
        <v>0</v>
      </c>
      <c r="AG92" s="223">
        <v>0</v>
      </c>
      <c r="AH92" s="223">
        <v>0</v>
      </c>
      <c r="AI92" s="223">
        <v>0</v>
      </c>
      <c r="AJ92" s="223">
        <v>0</v>
      </c>
      <c r="AK92" s="223">
        <v>0</v>
      </c>
      <c r="AL92" s="223">
        <v>0</v>
      </c>
      <c r="AM92" s="223">
        <v>0</v>
      </c>
      <c r="AN92" s="223">
        <v>0</v>
      </c>
      <c r="AO92" s="223">
        <v>0</v>
      </c>
      <c r="AP92" s="223">
        <v>0</v>
      </c>
      <c r="AQ92" s="223">
        <v>0</v>
      </c>
      <c r="AR92" s="223">
        <v>0</v>
      </c>
      <c r="AS92" s="223">
        <v>0</v>
      </c>
      <c r="AT92" s="223"/>
      <c r="AU92" s="223"/>
      <c r="AV92" s="223"/>
      <c r="AW92" s="223"/>
      <c r="AX92" s="223"/>
      <c r="AY92" s="223"/>
      <c r="AZ92" s="223"/>
      <c r="BA92" s="223"/>
      <c r="BB92" s="223"/>
      <c r="BC92" s="223"/>
      <c r="BD92" s="223"/>
      <c r="BE92" s="223"/>
      <c r="BF92" s="223"/>
      <c r="BG92" s="223"/>
      <c r="BH92" s="223"/>
      <c r="BI92" s="223"/>
      <c r="BJ92" s="223"/>
      <c r="BK92" s="223"/>
      <c r="BL92" s="223"/>
      <c r="BM92" s="223"/>
      <c r="BN92" s="223"/>
      <c r="BO92" s="185"/>
      <c r="BP92" s="185"/>
      <c r="BQ92" s="185"/>
      <c r="BR92" s="185"/>
      <c r="BS92" s="185"/>
    </row>
    <row r="93" spans="2:71" x14ac:dyDescent="0.2">
      <c r="D93" s="204"/>
      <c r="E93" s="204"/>
      <c r="G93" s="185">
        <v>59</v>
      </c>
      <c r="H93" s="223">
        <v>0</v>
      </c>
      <c r="I93" s="223">
        <v>0</v>
      </c>
      <c r="J93" s="223">
        <v>0</v>
      </c>
      <c r="K93" s="223">
        <v>0</v>
      </c>
      <c r="L93" s="223">
        <v>0</v>
      </c>
      <c r="M93" s="223">
        <v>0</v>
      </c>
      <c r="N93" s="223">
        <v>0</v>
      </c>
      <c r="O93" s="223">
        <v>0</v>
      </c>
      <c r="P93" s="223">
        <v>0</v>
      </c>
      <c r="Q93" s="223">
        <v>0</v>
      </c>
      <c r="R93" s="223">
        <v>0</v>
      </c>
      <c r="S93" s="223">
        <v>0</v>
      </c>
      <c r="T93" s="223">
        <v>0</v>
      </c>
      <c r="U93" s="223">
        <v>0</v>
      </c>
      <c r="V93" s="223">
        <v>0</v>
      </c>
      <c r="W93" s="223">
        <v>0</v>
      </c>
      <c r="X93" s="223">
        <v>0</v>
      </c>
      <c r="Y93" s="223">
        <v>0</v>
      </c>
      <c r="Z93" s="223">
        <v>0</v>
      </c>
      <c r="AA93" s="223">
        <v>0</v>
      </c>
      <c r="AB93" s="223">
        <v>0</v>
      </c>
      <c r="AC93" s="223">
        <v>0</v>
      </c>
      <c r="AD93" s="223">
        <v>0</v>
      </c>
      <c r="AE93" s="223">
        <v>0</v>
      </c>
      <c r="AF93" s="223">
        <v>0</v>
      </c>
      <c r="AG93" s="223">
        <v>0</v>
      </c>
      <c r="AH93" s="223">
        <v>0</v>
      </c>
      <c r="AI93" s="223">
        <v>0</v>
      </c>
      <c r="AJ93" s="223">
        <v>0</v>
      </c>
      <c r="AK93" s="223">
        <v>0</v>
      </c>
      <c r="AL93" s="223">
        <v>0</v>
      </c>
      <c r="AM93" s="223">
        <v>0</v>
      </c>
      <c r="AN93" s="223">
        <v>0</v>
      </c>
      <c r="AO93" s="223">
        <v>0</v>
      </c>
      <c r="AP93" s="223">
        <v>0</v>
      </c>
      <c r="AQ93" s="223">
        <v>0</v>
      </c>
      <c r="AR93" s="223">
        <v>0</v>
      </c>
      <c r="AS93" s="223">
        <v>0</v>
      </c>
      <c r="AT93" s="223"/>
      <c r="AU93" s="223"/>
      <c r="AV93" s="223"/>
      <c r="AW93" s="223"/>
      <c r="AX93" s="223"/>
      <c r="AY93" s="223"/>
      <c r="AZ93" s="223"/>
      <c r="BA93" s="223"/>
      <c r="BB93" s="223"/>
      <c r="BC93" s="223"/>
      <c r="BD93" s="223"/>
      <c r="BE93" s="223"/>
      <c r="BF93" s="223"/>
      <c r="BG93" s="223"/>
      <c r="BH93" s="223"/>
      <c r="BI93" s="223"/>
      <c r="BJ93" s="223"/>
      <c r="BK93" s="223"/>
      <c r="BL93" s="223"/>
      <c r="BM93" s="223"/>
      <c r="BN93" s="223"/>
      <c r="BO93" s="185"/>
      <c r="BP93" s="185"/>
      <c r="BQ93" s="185"/>
      <c r="BR93" s="185"/>
      <c r="BS93" s="185"/>
    </row>
    <row r="94" spans="2:71" x14ac:dyDescent="0.2">
      <c r="D94" s="204"/>
      <c r="E94" s="204"/>
      <c r="G94" s="185">
        <v>60</v>
      </c>
      <c r="H94" s="223">
        <v>0</v>
      </c>
      <c r="I94" s="223">
        <v>0</v>
      </c>
      <c r="J94" s="223">
        <v>0</v>
      </c>
      <c r="K94" s="223">
        <v>0</v>
      </c>
      <c r="L94" s="223">
        <v>0</v>
      </c>
      <c r="M94" s="223">
        <v>0</v>
      </c>
      <c r="N94" s="223">
        <v>0</v>
      </c>
      <c r="O94" s="223">
        <v>0</v>
      </c>
      <c r="P94" s="223">
        <v>0</v>
      </c>
      <c r="Q94" s="223">
        <v>0</v>
      </c>
      <c r="R94" s="223">
        <v>0</v>
      </c>
      <c r="S94" s="223">
        <v>0</v>
      </c>
      <c r="T94" s="223">
        <v>0</v>
      </c>
      <c r="U94" s="223">
        <v>0</v>
      </c>
      <c r="V94" s="223">
        <v>0</v>
      </c>
      <c r="W94" s="223">
        <v>0</v>
      </c>
      <c r="X94" s="223">
        <v>0</v>
      </c>
      <c r="Y94" s="223">
        <v>0</v>
      </c>
      <c r="Z94" s="223">
        <v>0</v>
      </c>
      <c r="AA94" s="223">
        <v>0</v>
      </c>
      <c r="AB94" s="223">
        <v>0</v>
      </c>
      <c r="AC94" s="223">
        <v>0</v>
      </c>
      <c r="AD94" s="223">
        <v>0</v>
      </c>
      <c r="AE94" s="223">
        <v>0</v>
      </c>
      <c r="AF94" s="223">
        <v>0</v>
      </c>
      <c r="AG94" s="223">
        <v>0</v>
      </c>
      <c r="AH94" s="223">
        <v>0</v>
      </c>
      <c r="AI94" s="223">
        <v>0</v>
      </c>
      <c r="AJ94" s="223">
        <v>0</v>
      </c>
      <c r="AK94" s="223">
        <v>0</v>
      </c>
      <c r="AL94" s="223">
        <v>0</v>
      </c>
      <c r="AM94" s="223">
        <v>0</v>
      </c>
      <c r="AN94" s="223">
        <v>0</v>
      </c>
      <c r="AO94" s="223">
        <v>0</v>
      </c>
      <c r="AP94" s="223">
        <v>0</v>
      </c>
      <c r="AQ94" s="223">
        <v>0</v>
      </c>
      <c r="AR94" s="223">
        <v>0</v>
      </c>
      <c r="AS94" s="223">
        <v>0</v>
      </c>
      <c r="AT94" s="223"/>
      <c r="AU94" s="223"/>
      <c r="AV94" s="223"/>
      <c r="AW94" s="223"/>
      <c r="AX94" s="223"/>
      <c r="AY94" s="223"/>
      <c r="AZ94" s="223"/>
      <c r="BA94" s="223"/>
      <c r="BB94" s="223"/>
      <c r="BC94" s="223"/>
      <c r="BD94" s="223"/>
      <c r="BE94" s="223"/>
      <c r="BF94" s="223"/>
      <c r="BG94" s="223"/>
      <c r="BH94" s="223"/>
      <c r="BI94" s="223"/>
      <c r="BJ94" s="223"/>
      <c r="BK94" s="223"/>
      <c r="BL94" s="223"/>
      <c r="BM94" s="223"/>
      <c r="BN94" s="223"/>
      <c r="BO94" s="185"/>
      <c r="BP94" s="185"/>
      <c r="BQ94" s="185"/>
      <c r="BR94" s="185"/>
      <c r="BS94" s="185"/>
    </row>
    <row r="95" spans="2:71" x14ac:dyDescent="0.2">
      <c r="D95" s="204"/>
      <c r="E95" s="204"/>
      <c r="G95" s="185">
        <v>61</v>
      </c>
      <c r="H95" s="223">
        <v>0</v>
      </c>
      <c r="I95" s="223">
        <v>0</v>
      </c>
      <c r="J95" s="223">
        <v>0</v>
      </c>
      <c r="K95" s="223">
        <v>0</v>
      </c>
      <c r="L95" s="223">
        <v>0</v>
      </c>
      <c r="M95" s="223">
        <v>0</v>
      </c>
      <c r="N95" s="223">
        <v>0</v>
      </c>
      <c r="O95" s="223">
        <v>0</v>
      </c>
      <c r="P95" s="223">
        <v>0</v>
      </c>
      <c r="Q95" s="223">
        <v>0</v>
      </c>
      <c r="R95" s="223">
        <v>0</v>
      </c>
      <c r="S95" s="223">
        <v>0</v>
      </c>
      <c r="T95" s="223">
        <v>0</v>
      </c>
      <c r="U95" s="223">
        <v>0</v>
      </c>
      <c r="V95" s="223">
        <v>0</v>
      </c>
      <c r="W95" s="223">
        <v>0</v>
      </c>
      <c r="X95" s="223">
        <v>0</v>
      </c>
      <c r="Y95" s="223">
        <v>0</v>
      </c>
      <c r="Z95" s="223">
        <v>0</v>
      </c>
      <c r="AA95" s="223">
        <v>0</v>
      </c>
      <c r="AB95" s="223">
        <v>0</v>
      </c>
      <c r="AC95" s="223">
        <v>0</v>
      </c>
      <c r="AD95" s="223">
        <v>0</v>
      </c>
      <c r="AE95" s="223">
        <v>0</v>
      </c>
      <c r="AF95" s="223">
        <v>0</v>
      </c>
      <c r="AG95" s="223">
        <v>0</v>
      </c>
      <c r="AH95" s="223">
        <v>0</v>
      </c>
      <c r="AI95" s="223">
        <v>0</v>
      </c>
      <c r="AJ95" s="223">
        <v>0</v>
      </c>
      <c r="AK95" s="223">
        <v>0</v>
      </c>
      <c r="AL95" s="223">
        <v>0</v>
      </c>
      <c r="AM95" s="223">
        <v>0</v>
      </c>
      <c r="AN95" s="223">
        <v>0</v>
      </c>
      <c r="AO95" s="223">
        <v>0</v>
      </c>
      <c r="AP95" s="223">
        <v>0</v>
      </c>
      <c r="AQ95" s="223">
        <v>0</v>
      </c>
      <c r="AR95" s="223">
        <v>0</v>
      </c>
      <c r="AS95" s="223">
        <v>0</v>
      </c>
      <c r="AT95" s="223"/>
      <c r="AU95" s="223"/>
      <c r="AV95" s="223"/>
      <c r="AW95" s="223"/>
      <c r="AX95" s="223"/>
      <c r="AY95" s="223"/>
      <c r="AZ95" s="223"/>
      <c r="BA95" s="223"/>
      <c r="BB95" s="223"/>
      <c r="BC95" s="223"/>
      <c r="BD95" s="223"/>
      <c r="BE95" s="223"/>
      <c r="BF95" s="223"/>
      <c r="BG95" s="223"/>
      <c r="BH95" s="223"/>
      <c r="BI95" s="223"/>
      <c r="BJ95" s="223"/>
      <c r="BK95" s="223"/>
      <c r="BL95" s="223"/>
      <c r="BM95" s="223"/>
      <c r="BN95" s="223"/>
      <c r="BO95" s="185"/>
      <c r="BP95" s="185"/>
      <c r="BQ95" s="185"/>
      <c r="BR95" s="185"/>
      <c r="BS95" s="185"/>
    </row>
    <row r="96" spans="2:71" x14ac:dyDescent="0.2">
      <c r="D96" s="204"/>
      <c r="E96" s="204"/>
      <c r="G96" s="185">
        <v>62</v>
      </c>
      <c r="H96" s="223">
        <v>1</v>
      </c>
      <c r="I96" s="223">
        <v>1</v>
      </c>
      <c r="J96" s="223">
        <v>1</v>
      </c>
      <c r="K96" s="223">
        <v>1</v>
      </c>
      <c r="L96" s="223">
        <v>1</v>
      </c>
      <c r="M96" s="223">
        <v>1</v>
      </c>
      <c r="N96" s="223">
        <v>1</v>
      </c>
      <c r="O96" s="223">
        <v>1</v>
      </c>
      <c r="P96" s="223">
        <v>1</v>
      </c>
      <c r="Q96" s="223">
        <v>1</v>
      </c>
      <c r="R96" s="223">
        <v>1</v>
      </c>
      <c r="S96" s="223">
        <v>1</v>
      </c>
      <c r="T96" s="223">
        <v>1</v>
      </c>
      <c r="U96" s="223">
        <v>1</v>
      </c>
      <c r="V96" s="223">
        <v>1</v>
      </c>
      <c r="W96" s="223">
        <v>1</v>
      </c>
      <c r="X96" s="223">
        <v>1</v>
      </c>
      <c r="Y96" s="223">
        <v>1</v>
      </c>
      <c r="Z96" s="223">
        <v>1</v>
      </c>
      <c r="AA96" s="223">
        <v>1</v>
      </c>
      <c r="AB96" s="223">
        <v>1</v>
      </c>
      <c r="AC96" s="223">
        <v>1</v>
      </c>
      <c r="AD96" s="223">
        <v>1</v>
      </c>
      <c r="AE96" s="223">
        <v>1</v>
      </c>
      <c r="AF96" s="223">
        <v>1</v>
      </c>
      <c r="AG96" s="223">
        <v>1</v>
      </c>
      <c r="AH96" s="223">
        <v>1</v>
      </c>
      <c r="AI96" s="223">
        <v>1</v>
      </c>
      <c r="AJ96" s="223">
        <v>1</v>
      </c>
      <c r="AK96" s="223">
        <v>1</v>
      </c>
      <c r="AL96" s="223">
        <v>1</v>
      </c>
      <c r="AM96" s="223">
        <v>1</v>
      </c>
      <c r="AN96" s="223">
        <v>1</v>
      </c>
      <c r="AO96" s="223">
        <v>1</v>
      </c>
      <c r="AP96" s="223">
        <v>1</v>
      </c>
      <c r="AQ96" s="223">
        <v>1</v>
      </c>
      <c r="AR96" s="223">
        <v>1</v>
      </c>
      <c r="AS96" s="223">
        <v>1</v>
      </c>
      <c r="AT96" s="223"/>
      <c r="AU96" s="223"/>
      <c r="AV96" s="223"/>
      <c r="AW96" s="223"/>
      <c r="AX96" s="223"/>
      <c r="AY96" s="223"/>
      <c r="AZ96" s="223"/>
      <c r="BA96" s="223"/>
      <c r="BB96" s="223"/>
      <c r="BC96" s="223"/>
      <c r="BD96" s="223"/>
      <c r="BE96" s="223"/>
      <c r="BF96" s="223"/>
      <c r="BG96" s="223"/>
      <c r="BH96" s="223"/>
      <c r="BI96" s="223"/>
      <c r="BJ96" s="223"/>
      <c r="BK96" s="223"/>
      <c r="BL96" s="223"/>
      <c r="BM96" s="223"/>
      <c r="BN96" s="223"/>
      <c r="BO96" s="185"/>
      <c r="BP96" s="185"/>
      <c r="BQ96" s="185"/>
      <c r="BR96" s="185"/>
      <c r="BS96" s="185"/>
    </row>
    <row r="97" spans="1:71" x14ac:dyDescent="0.2">
      <c r="D97" s="204"/>
      <c r="E97" s="204"/>
      <c r="G97" s="185">
        <v>63</v>
      </c>
      <c r="H97" s="223">
        <v>1</v>
      </c>
      <c r="I97" s="223">
        <v>1</v>
      </c>
      <c r="J97" s="223">
        <v>1</v>
      </c>
      <c r="K97" s="223">
        <v>1</v>
      </c>
      <c r="L97" s="223">
        <v>1</v>
      </c>
      <c r="M97" s="223">
        <v>1</v>
      </c>
      <c r="N97" s="223">
        <v>1</v>
      </c>
      <c r="O97" s="223">
        <v>1</v>
      </c>
      <c r="P97" s="223">
        <v>1</v>
      </c>
      <c r="Q97" s="223">
        <v>1</v>
      </c>
      <c r="R97" s="223">
        <v>1</v>
      </c>
      <c r="S97" s="223">
        <v>1</v>
      </c>
      <c r="T97" s="223">
        <v>1</v>
      </c>
      <c r="U97" s="223">
        <v>1</v>
      </c>
      <c r="V97" s="223">
        <v>1</v>
      </c>
      <c r="W97" s="223">
        <v>1</v>
      </c>
      <c r="X97" s="223">
        <v>1</v>
      </c>
      <c r="Y97" s="223">
        <v>1</v>
      </c>
      <c r="Z97" s="223">
        <v>1</v>
      </c>
      <c r="AA97" s="223">
        <v>1</v>
      </c>
      <c r="AB97" s="223">
        <v>1</v>
      </c>
      <c r="AC97" s="223">
        <v>1</v>
      </c>
      <c r="AD97" s="223">
        <v>1</v>
      </c>
      <c r="AE97" s="223">
        <v>1</v>
      </c>
      <c r="AF97" s="223">
        <v>1</v>
      </c>
      <c r="AG97" s="223">
        <v>1</v>
      </c>
      <c r="AH97" s="223">
        <v>1</v>
      </c>
      <c r="AI97" s="223">
        <v>1</v>
      </c>
      <c r="AJ97" s="223">
        <v>1</v>
      </c>
      <c r="AK97" s="223">
        <v>1</v>
      </c>
      <c r="AL97" s="223">
        <v>1</v>
      </c>
      <c r="AM97" s="223">
        <v>1</v>
      </c>
      <c r="AN97" s="223">
        <v>1</v>
      </c>
      <c r="AO97" s="223">
        <v>1</v>
      </c>
      <c r="AP97" s="223">
        <v>1</v>
      </c>
      <c r="AQ97" s="223">
        <v>1</v>
      </c>
      <c r="AR97" s="223">
        <v>1</v>
      </c>
      <c r="AS97" s="223">
        <v>1</v>
      </c>
      <c r="AT97" s="223"/>
      <c r="AU97" s="223"/>
      <c r="AV97" s="223"/>
      <c r="AW97" s="223"/>
      <c r="AX97" s="223"/>
      <c r="AY97" s="223"/>
      <c r="AZ97" s="223"/>
      <c r="BA97" s="223"/>
      <c r="BB97" s="223"/>
      <c r="BC97" s="223"/>
      <c r="BD97" s="223"/>
      <c r="BE97" s="223"/>
      <c r="BF97" s="223"/>
      <c r="BG97" s="223"/>
      <c r="BH97" s="223"/>
      <c r="BI97" s="223"/>
      <c r="BJ97" s="223"/>
      <c r="BK97" s="223"/>
      <c r="BL97" s="223"/>
      <c r="BM97" s="223"/>
      <c r="BN97" s="223"/>
      <c r="BO97" s="185"/>
      <c r="BP97" s="185"/>
      <c r="BQ97" s="185"/>
      <c r="BR97" s="185"/>
      <c r="BS97" s="185"/>
    </row>
    <row r="98" spans="1:71" x14ac:dyDescent="0.2">
      <c r="D98" s="204"/>
      <c r="E98" s="204"/>
      <c r="G98" s="185">
        <v>64</v>
      </c>
      <c r="H98" s="223">
        <v>1</v>
      </c>
      <c r="I98" s="223">
        <v>1</v>
      </c>
      <c r="J98" s="223">
        <v>1</v>
      </c>
      <c r="K98" s="223">
        <v>1</v>
      </c>
      <c r="L98" s="223">
        <v>1</v>
      </c>
      <c r="M98" s="223">
        <v>1</v>
      </c>
      <c r="N98" s="223">
        <v>1</v>
      </c>
      <c r="O98" s="223">
        <v>1</v>
      </c>
      <c r="P98" s="223">
        <v>1</v>
      </c>
      <c r="Q98" s="223">
        <v>1</v>
      </c>
      <c r="R98" s="223">
        <v>1</v>
      </c>
      <c r="S98" s="223">
        <v>1</v>
      </c>
      <c r="T98" s="223">
        <v>1</v>
      </c>
      <c r="U98" s="223">
        <v>1</v>
      </c>
      <c r="V98" s="223">
        <v>1</v>
      </c>
      <c r="W98" s="223">
        <v>1</v>
      </c>
      <c r="X98" s="223">
        <v>1</v>
      </c>
      <c r="Y98" s="223">
        <v>1</v>
      </c>
      <c r="Z98" s="223">
        <v>1</v>
      </c>
      <c r="AA98" s="223">
        <v>1</v>
      </c>
      <c r="AB98" s="223">
        <v>1</v>
      </c>
      <c r="AC98" s="223">
        <v>1</v>
      </c>
      <c r="AD98" s="223">
        <v>1</v>
      </c>
      <c r="AE98" s="223">
        <v>1</v>
      </c>
      <c r="AF98" s="223">
        <v>1</v>
      </c>
      <c r="AG98" s="223">
        <v>1</v>
      </c>
      <c r="AH98" s="223">
        <v>1</v>
      </c>
      <c r="AI98" s="223">
        <v>1</v>
      </c>
      <c r="AJ98" s="223">
        <v>1</v>
      </c>
      <c r="AK98" s="223">
        <v>1</v>
      </c>
      <c r="AL98" s="223">
        <v>1</v>
      </c>
      <c r="AM98" s="223">
        <v>1</v>
      </c>
      <c r="AN98" s="223">
        <v>1</v>
      </c>
      <c r="AO98" s="223">
        <v>1</v>
      </c>
      <c r="AP98" s="223">
        <v>1</v>
      </c>
      <c r="AQ98" s="223">
        <v>1</v>
      </c>
      <c r="AR98" s="223">
        <v>1</v>
      </c>
      <c r="AS98" s="223">
        <v>1</v>
      </c>
      <c r="AT98" s="223"/>
      <c r="AU98" s="223"/>
      <c r="AV98" s="223"/>
      <c r="AW98" s="223"/>
      <c r="AX98" s="223"/>
      <c r="AY98" s="223"/>
      <c r="AZ98" s="223"/>
      <c r="BA98" s="223"/>
      <c r="BB98" s="223"/>
      <c r="BC98" s="223"/>
      <c r="BD98" s="223"/>
      <c r="BE98" s="223"/>
      <c r="BF98" s="223"/>
      <c r="BG98" s="223"/>
      <c r="BH98" s="223"/>
      <c r="BI98" s="223"/>
      <c r="BJ98" s="223"/>
      <c r="BK98" s="223"/>
      <c r="BL98" s="223"/>
      <c r="BM98" s="223"/>
      <c r="BN98" s="223"/>
      <c r="BO98" s="185"/>
      <c r="BP98" s="185"/>
      <c r="BQ98" s="185"/>
      <c r="BR98" s="185"/>
      <c r="BS98" s="185"/>
    </row>
    <row r="99" spans="1:71" x14ac:dyDescent="0.2">
      <c r="D99" s="204"/>
      <c r="E99" s="204"/>
      <c r="G99" s="185">
        <v>65</v>
      </c>
      <c r="H99" s="223">
        <v>1</v>
      </c>
      <c r="I99" s="223">
        <v>1</v>
      </c>
      <c r="J99" s="223">
        <v>1</v>
      </c>
      <c r="K99" s="223">
        <v>1</v>
      </c>
      <c r="L99" s="223">
        <v>1</v>
      </c>
      <c r="M99" s="223">
        <v>1</v>
      </c>
      <c r="N99" s="223">
        <v>1</v>
      </c>
      <c r="O99" s="223">
        <v>1</v>
      </c>
      <c r="P99" s="223">
        <v>1</v>
      </c>
      <c r="Q99" s="223">
        <v>1</v>
      </c>
      <c r="R99" s="223">
        <v>1</v>
      </c>
      <c r="S99" s="223">
        <v>1</v>
      </c>
      <c r="T99" s="223">
        <v>1</v>
      </c>
      <c r="U99" s="223">
        <v>1</v>
      </c>
      <c r="V99" s="223">
        <v>1</v>
      </c>
      <c r="W99" s="223">
        <v>1</v>
      </c>
      <c r="X99" s="223">
        <v>1</v>
      </c>
      <c r="Y99" s="223">
        <v>1</v>
      </c>
      <c r="Z99" s="223">
        <v>1</v>
      </c>
      <c r="AA99" s="223">
        <v>1</v>
      </c>
      <c r="AB99" s="223">
        <v>1</v>
      </c>
      <c r="AC99" s="223">
        <v>1</v>
      </c>
      <c r="AD99" s="223">
        <v>1</v>
      </c>
      <c r="AE99" s="223">
        <v>1</v>
      </c>
      <c r="AF99" s="223">
        <v>1</v>
      </c>
      <c r="AG99" s="223">
        <v>1</v>
      </c>
      <c r="AH99" s="223">
        <v>1</v>
      </c>
      <c r="AI99" s="223">
        <v>1</v>
      </c>
      <c r="AJ99" s="223">
        <v>1</v>
      </c>
      <c r="AK99" s="223">
        <v>1</v>
      </c>
      <c r="AL99" s="223">
        <v>1</v>
      </c>
      <c r="AM99" s="223">
        <v>1</v>
      </c>
      <c r="AN99" s="223">
        <v>1</v>
      </c>
      <c r="AO99" s="223">
        <v>1</v>
      </c>
      <c r="AP99" s="223">
        <v>1</v>
      </c>
      <c r="AQ99" s="223">
        <v>1</v>
      </c>
      <c r="AR99" s="223">
        <v>1</v>
      </c>
      <c r="AS99" s="223">
        <v>1</v>
      </c>
      <c r="AT99" s="223"/>
      <c r="AU99" s="223"/>
      <c r="AV99" s="223"/>
      <c r="AW99" s="223"/>
      <c r="AX99" s="223"/>
      <c r="AY99" s="223"/>
      <c r="AZ99" s="223"/>
      <c r="BA99" s="223"/>
      <c r="BB99" s="223"/>
      <c r="BC99" s="223"/>
      <c r="BD99" s="223"/>
      <c r="BE99" s="223"/>
      <c r="BF99" s="223"/>
      <c r="BG99" s="223"/>
      <c r="BH99" s="223"/>
      <c r="BI99" s="223"/>
      <c r="BJ99" s="223"/>
      <c r="BK99" s="223"/>
      <c r="BL99" s="223"/>
      <c r="BM99" s="223"/>
      <c r="BN99" s="223"/>
      <c r="BO99" s="185"/>
      <c r="BP99" s="185"/>
      <c r="BQ99" s="185"/>
      <c r="BR99" s="185"/>
      <c r="BS99" s="185"/>
    </row>
    <row r="100" spans="1:71" x14ac:dyDescent="0.2">
      <c r="A100" s="174" t="s">
        <v>375</v>
      </c>
      <c r="B100" s="204" t="s">
        <v>4411</v>
      </c>
      <c r="C100" s="174" t="s">
        <v>4404</v>
      </c>
      <c r="D100" s="204"/>
      <c r="E100" s="204" t="s">
        <v>4422</v>
      </c>
      <c r="F100" s="174" t="s">
        <v>4423</v>
      </c>
      <c r="G100" s="185">
        <v>66</v>
      </c>
      <c r="H100" s="223">
        <v>1</v>
      </c>
      <c r="I100" s="223">
        <v>1</v>
      </c>
      <c r="J100" s="223">
        <v>1</v>
      </c>
      <c r="K100" s="223">
        <v>1</v>
      </c>
      <c r="L100" s="223">
        <v>1</v>
      </c>
      <c r="M100" s="223">
        <v>1</v>
      </c>
      <c r="N100" s="223">
        <v>1</v>
      </c>
      <c r="O100" s="223">
        <v>1</v>
      </c>
      <c r="P100" s="223">
        <v>1</v>
      </c>
      <c r="Q100" s="223">
        <v>1</v>
      </c>
      <c r="R100" s="223">
        <v>1</v>
      </c>
      <c r="S100" s="223">
        <v>1</v>
      </c>
      <c r="T100" s="223">
        <v>1</v>
      </c>
      <c r="U100" s="223">
        <v>1</v>
      </c>
      <c r="V100" s="223">
        <v>1</v>
      </c>
      <c r="W100" s="223">
        <v>1</v>
      </c>
      <c r="X100" s="223">
        <v>1</v>
      </c>
      <c r="Y100" s="223">
        <v>1</v>
      </c>
      <c r="Z100" s="223">
        <v>1</v>
      </c>
      <c r="AA100" s="223">
        <v>1</v>
      </c>
      <c r="AB100" s="223">
        <v>1</v>
      </c>
      <c r="AC100" s="223">
        <v>1</v>
      </c>
      <c r="AD100" s="223">
        <v>1</v>
      </c>
      <c r="AE100" s="223">
        <v>1</v>
      </c>
      <c r="AF100" s="223">
        <v>1</v>
      </c>
      <c r="AG100" s="223">
        <v>1</v>
      </c>
      <c r="AH100" s="223">
        <v>1</v>
      </c>
      <c r="AI100" s="223">
        <v>1</v>
      </c>
      <c r="AJ100" s="223">
        <v>1</v>
      </c>
      <c r="AK100" s="223">
        <v>1</v>
      </c>
      <c r="AL100" s="223">
        <v>1</v>
      </c>
      <c r="AM100" s="223">
        <v>1</v>
      </c>
      <c r="AN100" s="223">
        <v>1</v>
      </c>
      <c r="AO100" s="223">
        <v>1</v>
      </c>
      <c r="AP100" s="223">
        <v>1</v>
      </c>
      <c r="AQ100" s="223">
        <v>1</v>
      </c>
      <c r="AR100" s="223">
        <v>1</v>
      </c>
      <c r="AS100" s="223">
        <v>1</v>
      </c>
      <c r="AT100" s="223"/>
      <c r="AU100" s="223"/>
      <c r="AV100" s="223"/>
      <c r="AW100" s="223"/>
      <c r="AX100" s="223"/>
      <c r="AY100" s="223"/>
      <c r="AZ100" s="223"/>
      <c r="BA100" s="223"/>
      <c r="BB100" s="223"/>
      <c r="BC100" s="223"/>
      <c r="BD100" s="223"/>
      <c r="BE100" s="223"/>
      <c r="BF100" s="223"/>
      <c r="BG100" s="223"/>
      <c r="BH100" s="223"/>
      <c r="BI100" s="223"/>
      <c r="BJ100" s="223"/>
      <c r="BK100" s="223"/>
      <c r="BL100" s="223"/>
      <c r="BM100" s="223"/>
      <c r="BN100" s="223"/>
      <c r="BO100" s="185"/>
      <c r="BP100" s="185"/>
      <c r="BQ100" s="185"/>
      <c r="BR100" s="185"/>
      <c r="BS100" s="185"/>
    </row>
    <row r="101" spans="1:71" x14ac:dyDescent="0.2">
      <c r="A101" s="174">
        <v>0</v>
      </c>
      <c r="B101" s="204"/>
      <c r="C101" s="174" t="s">
        <v>4412</v>
      </c>
      <c r="D101" s="204"/>
      <c r="E101" s="204">
        <f t="shared" ref="E101:E110" si="60">A101*0.45</f>
        <v>0</v>
      </c>
      <c r="G101" s="185">
        <v>67</v>
      </c>
      <c r="H101" s="223">
        <v>1</v>
      </c>
      <c r="I101" s="223">
        <v>1</v>
      </c>
      <c r="J101" s="223">
        <v>1</v>
      </c>
      <c r="K101" s="223">
        <v>1</v>
      </c>
      <c r="L101" s="223">
        <v>1</v>
      </c>
      <c r="M101" s="223">
        <v>1</v>
      </c>
      <c r="N101" s="223">
        <v>1</v>
      </c>
      <c r="O101" s="223">
        <v>1</v>
      </c>
      <c r="P101" s="223">
        <v>1</v>
      </c>
      <c r="Q101" s="223">
        <v>1</v>
      </c>
      <c r="R101" s="223">
        <v>1</v>
      </c>
      <c r="S101" s="223">
        <v>1</v>
      </c>
      <c r="T101" s="223">
        <v>1</v>
      </c>
      <c r="U101" s="223">
        <v>1</v>
      </c>
      <c r="V101" s="223">
        <v>1</v>
      </c>
      <c r="W101" s="223">
        <v>1</v>
      </c>
      <c r="X101" s="223">
        <v>1</v>
      </c>
      <c r="Y101" s="223">
        <v>1</v>
      </c>
      <c r="Z101" s="223">
        <v>1</v>
      </c>
      <c r="AA101" s="223">
        <v>1</v>
      </c>
      <c r="AB101" s="223">
        <v>1</v>
      </c>
      <c r="AC101" s="223">
        <v>1</v>
      </c>
      <c r="AD101" s="223">
        <v>1</v>
      </c>
      <c r="AE101" s="223">
        <v>1</v>
      </c>
      <c r="AF101" s="223">
        <v>1</v>
      </c>
      <c r="AG101" s="223">
        <v>1</v>
      </c>
      <c r="AH101" s="223">
        <v>1</v>
      </c>
      <c r="AI101" s="223">
        <v>1</v>
      </c>
      <c r="AJ101" s="223">
        <v>1</v>
      </c>
      <c r="AK101" s="223">
        <v>1</v>
      </c>
      <c r="AL101" s="223">
        <v>1</v>
      </c>
      <c r="AM101" s="223">
        <v>1</v>
      </c>
      <c r="AN101" s="223">
        <v>1</v>
      </c>
      <c r="AO101" s="223">
        <v>1</v>
      </c>
      <c r="AP101" s="223">
        <v>1</v>
      </c>
      <c r="AQ101" s="223">
        <v>1</v>
      </c>
      <c r="AR101" s="223">
        <v>1</v>
      </c>
      <c r="AS101" s="223">
        <v>1</v>
      </c>
      <c r="AT101" s="223"/>
      <c r="AU101" s="223"/>
      <c r="AV101" s="223"/>
      <c r="AW101" s="223"/>
      <c r="AX101" s="223"/>
      <c r="AY101" s="223"/>
      <c r="AZ101" s="223"/>
      <c r="BA101" s="223"/>
      <c r="BB101" s="223"/>
      <c r="BC101" s="223"/>
      <c r="BD101" s="223"/>
      <c r="BE101" s="223"/>
      <c r="BF101" s="223"/>
      <c r="BG101" s="223"/>
      <c r="BH101" s="223"/>
      <c r="BI101" s="223"/>
      <c r="BJ101" s="223"/>
      <c r="BK101" s="223"/>
      <c r="BL101" s="223"/>
      <c r="BM101" s="223"/>
      <c r="BN101" s="223"/>
      <c r="BO101" s="185"/>
      <c r="BP101" s="185"/>
      <c r="BQ101" s="185"/>
      <c r="BR101" s="185"/>
      <c r="BS101" s="185"/>
    </row>
    <row r="102" spans="1:71" x14ac:dyDescent="0.2">
      <c r="A102" s="174">
        <v>1</v>
      </c>
      <c r="B102" s="204">
        <f t="shared" ref="B102:B110" si="61">12*D102</f>
        <v>0</v>
      </c>
      <c r="C102" s="174" t="s">
        <v>4413</v>
      </c>
      <c r="D102" s="204"/>
      <c r="E102" s="204">
        <f t="shared" si="60"/>
        <v>0.45</v>
      </c>
      <c r="F102" s="174">
        <f t="shared" ref="F102:F110" si="62">B102*2.54</f>
        <v>0</v>
      </c>
      <c r="G102" s="185">
        <v>68</v>
      </c>
      <c r="H102" s="223">
        <v>1</v>
      </c>
      <c r="I102" s="223">
        <v>1</v>
      </c>
      <c r="J102" s="223">
        <v>1</v>
      </c>
      <c r="K102" s="223">
        <v>1</v>
      </c>
      <c r="L102" s="223">
        <v>1</v>
      </c>
      <c r="M102" s="223">
        <v>1</v>
      </c>
      <c r="N102" s="223">
        <v>1</v>
      </c>
      <c r="O102" s="223">
        <v>1</v>
      </c>
      <c r="P102" s="223">
        <v>1</v>
      </c>
      <c r="Q102" s="223">
        <v>1</v>
      </c>
      <c r="R102" s="223">
        <v>1</v>
      </c>
      <c r="S102" s="223">
        <v>1</v>
      </c>
      <c r="T102" s="223">
        <v>1</v>
      </c>
      <c r="U102" s="223">
        <v>1</v>
      </c>
      <c r="V102" s="223">
        <v>1</v>
      </c>
      <c r="W102" s="223">
        <v>1</v>
      </c>
      <c r="X102" s="223">
        <v>1</v>
      </c>
      <c r="Y102" s="223">
        <v>1</v>
      </c>
      <c r="Z102" s="223">
        <v>1</v>
      </c>
      <c r="AA102" s="223">
        <v>1</v>
      </c>
      <c r="AB102" s="223">
        <v>1</v>
      </c>
      <c r="AC102" s="223">
        <v>1</v>
      </c>
      <c r="AD102" s="223">
        <v>1</v>
      </c>
      <c r="AE102" s="223">
        <v>1</v>
      </c>
      <c r="AF102" s="223">
        <v>1</v>
      </c>
      <c r="AG102" s="223">
        <v>1</v>
      </c>
      <c r="AH102" s="223">
        <v>1</v>
      </c>
      <c r="AI102" s="223">
        <v>1</v>
      </c>
      <c r="AJ102" s="223">
        <v>1</v>
      </c>
      <c r="AK102" s="223">
        <v>1</v>
      </c>
      <c r="AL102" s="223">
        <v>1</v>
      </c>
      <c r="AM102" s="223">
        <v>1</v>
      </c>
      <c r="AN102" s="223">
        <v>1</v>
      </c>
      <c r="AO102" s="223">
        <v>1</v>
      </c>
      <c r="AP102" s="223">
        <v>1</v>
      </c>
      <c r="AQ102" s="223">
        <v>1</v>
      </c>
      <c r="AR102" s="223">
        <v>1</v>
      </c>
      <c r="AS102" s="223">
        <v>1</v>
      </c>
      <c r="AT102" s="223"/>
      <c r="AU102" s="223"/>
      <c r="AV102" s="223"/>
      <c r="AW102" s="223"/>
      <c r="AX102" s="223"/>
      <c r="AY102" s="223"/>
      <c r="AZ102" s="223"/>
      <c r="BA102" s="223"/>
      <c r="BB102" s="223"/>
      <c r="BC102" s="223"/>
      <c r="BD102" s="223"/>
      <c r="BE102" s="223"/>
      <c r="BF102" s="223"/>
      <c r="BG102" s="223"/>
      <c r="BH102" s="223"/>
      <c r="BI102" s="223"/>
      <c r="BJ102" s="223"/>
      <c r="BK102" s="223"/>
      <c r="BL102" s="223"/>
      <c r="BM102" s="223"/>
      <c r="BN102" s="223"/>
      <c r="BO102" s="185"/>
      <c r="BP102" s="185"/>
      <c r="BQ102" s="185"/>
      <c r="BR102" s="185"/>
      <c r="BS102" s="185"/>
    </row>
    <row r="103" spans="1:71" x14ac:dyDescent="0.2">
      <c r="A103" s="174">
        <v>4</v>
      </c>
      <c r="B103" s="204">
        <f t="shared" si="61"/>
        <v>6</v>
      </c>
      <c r="C103" s="174" t="s">
        <v>4414</v>
      </c>
      <c r="D103" s="204">
        <v>0.5</v>
      </c>
      <c r="E103" s="204">
        <f t="shared" si="60"/>
        <v>1.8</v>
      </c>
      <c r="F103" s="174">
        <f t="shared" si="62"/>
        <v>15.24</v>
      </c>
      <c r="G103" s="185">
        <v>69</v>
      </c>
      <c r="H103" s="223">
        <v>1</v>
      </c>
      <c r="I103" s="223">
        <v>1</v>
      </c>
      <c r="J103" s="223">
        <v>1</v>
      </c>
      <c r="K103" s="223">
        <v>1</v>
      </c>
      <c r="L103" s="223">
        <v>1</v>
      </c>
      <c r="M103" s="223">
        <v>1</v>
      </c>
      <c r="N103" s="223">
        <v>1</v>
      </c>
      <c r="O103" s="223">
        <v>1</v>
      </c>
      <c r="P103" s="223">
        <v>1</v>
      </c>
      <c r="Q103" s="223">
        <v>1</v>
      </c>
      <c r="R103" s="223">
        <v>1</v>
      </c>
      <c r="S103" s="223">
        <v>1</v>
      </c>
      <c r="T103" s="223">
        <v>1</v>
      </c>
      <c r="U103" s="223">
        <v>1</v>
      </c>
      <c r="V103" s="223">
        <v>1</v>
      </c>
      <c r="W103" s="223">
        <v>1</v>
      </c>
      <c r="X103" s="223">
        <v>1</v>
      </c>
      <c r="Y103" s="223">
        <v>1</v>
      </c>
      <c r="Z103" s="223">
        <v>1</v>
      </c>
      <c r="AA103" s="223">
        <v>1</v>
      </c>
      <c r="AB103" s="223">
        <v>1</v>
      </c>
      <c r="AC103" s="223">
        <v>1</v>
      </c>
      <c r="AD103" s="223">
        <v>1</v>
      </c>
      <c r="AE103" s="223">
        <v>1</v>
      </c>
      <c r="AF103" s="223">
        <v>1</v>
      </c>
      <c r="AG103" s="223">
        <v>1</v>
      </c>
      <c r="AH103" s="223">
        <v>1</v>
      </c>
      <c r="AI103" s="223">
        <v>1</v>
      </c>
      <c r="AJ103" s="223">
        <v>1</v>
      </c>
      <c r="AK103" s="223">
        <v>1</v>
      </c>
      <c r="AL103" s="223">
        <v>1</v>
      </c>
      <c r="AM103" s="223">
        <v>1</v>
      </c>
      <c r="AN103" s="223">
        <v>1</v>
      </c>
      <c r="AO103" s="223">
        <v>1</v>
      </c>
      <c r="AP103" s="223">
        <v>1</v>
      </c>
      <c r="AQ103" s="223">
        <v>1</v>
      </c>
      <c r="AR103" s="223">
        <v>1</v>
      </c>
      <c r="AS103" s="223">
        <v>1</v>
      </c>
      <c r="AT103" s="223"/>
      <c r="AU103" s="223"/>
      <c r="AV103" s="223"/>
      <c r="AW103" s="223"/>
      <c r="AX103" s="223"/>
      <c r="AY103" s="223"/>
      <c r="AZ103" s="223"/>
      <c r="BA103" s="223"/>
      <c r="BB103" s="223"/>
      <c r="BC103" s="223"/>
      <c r="BD103" s="223"/>
      <c r="BE103" s="223"/>
      <c r="BF103" s="223"/>
      <c r="BG103" s="223"/>
      <c r="BH103" s="223"/>
      <c r="BI103" s="223"/>
      <c r="BJ103" s="223"/>
      <c r="BK103" s="223"/>
      <c r="BL103" s="223"/>
      <c r="BM103" s="223"/>
      <c r="BN103" s="223"/>
      <c r="BO103" s="185"/>
      <c r="BP103" s="185"/>
      <c r="BQ103" s="185"/>
      <c r="BR103" s="185"/>
      <c r="BS103" s="185"/>
    </row>
    <row r="104" spans="1:71" x14ac:dyDescent="0.2">
      <c r="A104" s="174">
        <v>16</v>
      </c>
      <c r="B104" s="204">
        <f t="shared" si="61"/>
        <v>12</v>
      </c>
      <c r="C104" s="174" t="s">
        <v>4415</v>
      </c>
      <c r="D104" s="204">
        <v>1</v>
      </c>
      <c r="E104" s="204">
        <f t="shared" si="60"/>
        <v>7.2</v>
      </c>
      <c r="F104" s="174">
        <f t="shared" si="62"/>
        <v>30.48</v>
      </c>
      <c r="G104" s="185">
        <v>70</v>
      </c>
      <c r="H104" s="223">
        <v>1</v>
      </c>
      <c r="I104" s="223">
        <v>1</v>
      </c>
      <c r="J104" s="223">
        <v>1</v>
      </c>
      <c r="K104" s="223">
        <v>1</v>
      </c>
      <c r="L104" s="223">
        <v>1</v>
      </c>
      <c r="M104" s="223">
        <v>1</v>
      </c>
      <c r="N104" s="223">
        <v>1</v>
      </c>
      <c r="O104" s="223">
        <v>1</v>
      </c>
      <c r="P104" s="223">
        <v>1</v>
      </c>
      <c r="Q104" s="223">
        <v>1</v>
      </c>
      <c r="R104" s="223">
        <v>1</v>
      </c>
      <c r="S104" s="223">
        <v>1</v>
      </c>
      <c r="T104" s="223">
        <v>1</v>
      </c>
      <c r="U104" s="223">
        <v>1</v>
      </c>
      <c r="V104" s="223">
        <v>1</v>
      </c>
      <c r="W104" s="223">
        <v>1</v>
      </c>
      <c r="X104" s="223">
        <v>1</v>
      </c>
      <c r="Y104" s="223">
        <v>1</v>
      </c>
      <c r="Z104" s="223">
        <v>1</v>
      </c>
      <c r="AA104" s="223">
        <v>1</v>
      </c>
      <c r="AB104" s="223">
        <v>1</v>
      </c>
      <c r="AC104" s="223">
        <v>1</v>
      </c>
      <c r="AD104" s="223">
        <v>1</v>
      </c>
      <c r="AE104" s="223">
        <v>1</v>
      </c>
      <c r="AF104" s="223">
        <v>1</v>
      </c>
      <c r="AG104" s="223">
        <v>1</v>
      </c>
      <c r="AH104" s="223">
        <v>1</v>
      </c>
      <c r="AI104" s="223">
        <v>1</v>
      </c>
      <c r="AJ104" s="223">
        <v>1</v>
      </c>
      <c r="AK104" s="223">
        <v>1</v>
      </c>
      <c r="AL104" s="223">
        <v>1</v>
      </c>
      <c r="AM104" s="223">
        <v>1</v>
      </c>
      <c r="AN104" s="223">
        <v>1</v>
      </c>
      <c r="AO104" s="223">
        <v>1</v>
      </c>
      <c r="AP104" s="223">
        <v>1</v>
      </c>
      <c r="AQ104" s="223">
        <v>1</v>
      </c>
      <c r="AR104" s="223">
        <v>1</v>
      </c>
      <c r="AS104" s="223">
        <v>1</v>
      </c>
      <c r="AT104" s="223"/>
      <c r="AU104" s="223"/>
      <c r="AV104" s="223"/>
      <c r="AW104" s="223"/>
      <c r="AX104" s="223"/>
      <c r="AY104" s="223"/>
      <c r="AZ104" s="223"/>
      <c r="BA104" s="223"/>
      <c r="BB104" s="223"/>
      <c r="BC104" s="223"/>
      <c r="BD104" s="223"/>
      <c r="BE104" s="223"/>
      <c r="BF104" s="223"/>
      <c r="BG104" s="223"/>
      <c r="BH104" s="223"/>
      <c r="BI104" s="223"/>
      <c r="BJ104" s="223"/>
      <c r="BK104" s="223"/>
      <c r="BL104" s="223"/>
      <c r="BM104" s="223"/>
      <c r="BN104" s="223"/>
      <c r="BO104" s="185"/>
      <c r="BP104" s="185"/>
      <c r="BQ104" s="185"/>
      <c r="BR104" s="185"/>
      <c r="BS104" s="185"/>
    </row>
    <row r="105" spans="1:71" x14ac:dyDescent="0.2">
      <c r="A105" s="174">
        <v>64</v>
      </c>
      <c r="B105" s="204">
        <f t="shared" si="61"/>
        <v>48</v>
      </c>
      <c r="C105" s="174" t="s">
        <v>4416</v>
      </c>
      <c r="D105" s="204">
        <v>4</v>
      </c>
      <c r="E105" s="204">
        <f t="shared" si="60"/>
        <v>28.8</v>
      </c>
      <c r="F105" s="174">
        <f t="shared" si="62"/>
        <v>121.92</v>
      </c>
      <c r="G105" s="185">
        <v>71</v>
      </c>
      <c r="H105" s="223">
        <v>1</v>
      </c>
      <c r="I105" s="223">
        <v>1</v>
      </c>
      <c r="J105" s="223">
        <v>1</v>
      </c>
      <c r="K105" s="223">
        <v>1</v>
      </c>
      <c r="L105" s="223">
        <v>1</v>
      </c>
      <c r="M105" s="223">
        <v>1</v>
      </c>
      <c r="N105" s="223">
        <v>1</v>
      </c>
      <c r="O105" s="223">
        <v>1</v>
      </c>
      <c r="P105" s="223">
        <v>1</v>
      </c>
      <c r="Q105" s="223">
        <v>1</v>
      </c>
      <c r="R105" s="223">
        <v>1</v>
      </c>
      <c r="S105" s="223">
        <v>1</v>
      </c>
      <c r="T105" s="223">
        <v>1</v>
      </c>
      <c r="U105" s="223">
        <v>1</v>
      </c>
      <c r="V105" s="223">
        <v>1</v>
      </c>
      <c r="W105" s="223">
        <v>1</v>
      </c>
      <c r="X105" s="223">
        <v>1</v>
      </c>
      <c r="Y105" s="223">
        <v>1</v>
      </c>
      <c r="Z105" s="223">
        <v>1</v>
      </c>
      <c r="AA105" s="223">
        <v>1</v>
      </c>
      <c r="AB105" s="223">
        <v>1</v>
      </c>
      <c r="AC105" s="223">
        <v>1</v>
      </c>
      <c r="AD105" s="223">
        <v>1</v>
      </c>
      <c r="AE105" s="223">
        <v>1</v>
      </c>
      <c r="AF105" s="223">
        <v>1</v>
      </c>
      <c r="AG105" s="223">
        <v>1</v>
      </c>
      <c r="AH105" s="223">
        <v>1</v>
      </c>
      <c r="AI105" s="223">
        <v>1</v>
      </c>
      <c r="AJ105" s="223">
        <v>1</v>
      </c>
      <c r="AK105" s="223">
        <v>1</v>
      </c>
      <c r="AL105" s="223">
        <v>1</v>
      </c>
      <c r="AM105" s="223">
        <v>1</v>
      </c>
      <c r="AN105" s="223">
        <v>1</v>
      </c>
      <c r="AO105" s="223">
        <v>1</v>
      </c>
      <c r="AP105" s="223">
        <v>1</v>
      </c>
      <c r="AQ105" s="223">
        <v>1</v>
      </c>
      <c r="AR105" s="223">
        <v>1</v>
      </c>
      <c r="AS105" s="223">
        <v>1</v>
      </c>
      <c r="AT105" s="223"/>
      <c r="AU105" s="223"/>
      <c r="AV105" s="223"/>
      <c r="AW105" s="223"/>
      <c r="AX105" s="223"/>
      <c r="AY105" s="223"/>
      <c r="AZ105" s="223"/>
      <c r="BA105" s="223"/>
      <c r="BB105" s="223"/>
      <c r="BC105" s="223"/>
      <c r="BD105" s="223"/>
      <c r="BE105" s="223"/>
      <c r="BF105" s="223"/>
      <c r="BG105" s="223"/>
      <c r="BH105" s="223"/>
      <c r="BI105" s="223"/>
      <c r="BJ105" s="223"/>
      <c r="BK105" s="223"/>
      <c r="BL105" s="223"/>
      <c r="BM105" s="223"/>
      <c r="BN105" s="223"/>
      <c r="BO105" s="185"/>
      <c r="BP105" s="185"/>
      <c r="BQ105" s="185"/>
      <c r="BR105" s="185"/>
      <c r="BS105" s="185"/>
    </row>
    <row r="106" spans="1:71" x14ac:dyDescent="0.2">
      <c r="A106" s="174">
        <v>256</v>
      </c>
      <c r="B106" s="204">
        <f t="shared" si="61"/>
        <v>96</v>
      </c>
      <c r="C106" s="174" t="s">
        <v>4417</v>
      </c>
      <c r="D106" s="204">
        <v>8</v>
      </c>
      <c r="E106" s="204">
        <f t="shared" si="60"/>
        <v>115.2</v>
      </c>
      <c r="F106" s="174">
        <f t="shared" si="62"/>
        <v>243.84</v>
      </c>
      <c r="G106" s="185">
        <v>72</v>
      </c>
      <c r="H106" s="223">
        <v>1</v>
      </c>
      <c r="I106" s="223">
        <v>1</v>
      </c>
      <c r="J106" s="223">
        <v>1</v>
      </c>
      <c r="K106" s="223">
        <v>1</v>
      </c>
      <c r="L106" s="223">
        <v>1</v>
      </c>
      <c r="M106" s="223">
        <v>1</v>
      </c>
      <c r="N106" s="223">
        <v>1</v>
      </c>
      <c r="O106" s="223">
        <v>1</v>
      </c>
      <c r="P106" s="223">
        <v>1</v>
      </c>
      <c r="Q106" s="223">
        <v>1</v>
      </c>
      <c r="R106" s="223">
        <v>1</v>
      </c>
      <c r="S106" s="223">
        <v>1</v>
      </c>
      <c r="T106" s="223">
        <v>1</v>
      </c>
      <c r="U106" s="223">
        <v>1</v>
      </c>
      <c r="V106" s="223">
        <v>1</v>
      </c>
      <c r="W106" s="223">
        <v>1</v>
      </c>
      <c r="X106" s="223">
        <v>1</v>
      </c>
      <c r="Y106" s="223">
        <v>1</v>
      </c>
      <c r="Z106" s="223">
        <v>1</v>
      </c>
      <c r="AA106" s="223">
        <v>1</v>
      </c>
      <c r="AB106" s="223">
        <v>1</v>
      </c>
      <c r="AC106" s="223">
        <v>1</v>
      </c>
      <c r="AD106" s="223">
        <v>1</v>
      </c>
      <c r="AE106" s="223">
        <v>1</v>
      </c>
      <c r="AF106" s="223">
        <v>1</v>
      </c>
      <c r="AG106" s="223">
        <v>1</v>
      </c>
      <c r="AH106" s="223">
        <v>1</v>
      </c>
      <c r="AI106" s="223">
        <v>1</v>
      </c>
      <c r="AJ106" s="223">
        <v>1</v>
      </c>
      <c r="AK106" s="223">
        <v>1</v>
      </c>
      <c r="AL106" s="223">
        <v>1</v>
      </c>
      <c r="AM106" s="223">
        <v>1</v>
      </c>
      <c r="AN106" s="223">
        <v>1</v>
      </c>
      <c r="AO106" s="223">
        <v>1</v>
      </c>
      <c r="AP106" s="223">
        <v>1</v>
      </c>
      <c r="AQ106" s="223">
        <v>1</v>
      </c>
      <c r="AR106" s="223">
        <v>1</v>
      </c>
      <c r="AS106" s="223">
        <v>1</v>
      </c>
      <c r="AT106" s="223"/>
      <c r="AU106" s="223"/>
      <c r="AV106" s="223"/>
      <c r="AW106" s="223"/>
      <c r="AX106" s="223"/>
      <c r="AY106" s="223"/>
      <c r="AZ106" s="223"/>
      <c r="BA106" s="223"/>
      <c r="BB106" s="223"/>
      <c r="BC106" s="223"/>
      <c r="BD106" s="223"/>
      <c r="BE106" s="223"/>
      <c r="BF106" s="223"/>
      <c r="BG106" s="223"/>
      <c r="BH106" s="223"/>
      <c r="BI106" s="223"/>
      <c r="BJ106" s="223"/>
      <c r="BK106" s="223"/>
      <c r="BL106" s="223"/>
      <c r="BM106" s="223"/>
      <c r="BN106" s="223"/>
      <c r="BO106" s="185"/>
      <c r="BP106" s="185"/>
      <c r="BQ106" s="185"/>
      <c r="BR106" s="185"/>
      <c r="BS106" s="185"/>
    </row>
    <row r="107" spans="1:71" x14ac:dyDescent="0.2">
      <c r="A107" s="174">
        <v>1024</v>
      </c>
      <c r="B107" s="204">
        <f t="shared" si="61"/>
        <v>180</v>
      </c>
      <c r="C107" s="174" t="s">
        <v>4418</v>
      </c>
      <c r="D107" s="204">
        <v>15</v>
      </c>
      <c r="E107" s="204">
        <f t="shared" si="60"/>
        <v>460.8</v>
      </c>
      <c r="F107" s="174">
        <f t="shared" si="62"/>
        <v>457.2</v>
      </c>
      <c r="G107" s="185">
        <v>73</v>
      </c>
      <c r="H107" s="223">
        <v>1</v>
      </c>
      <c r="I107" s="223">
        <v>1</v>
      </c>
      <c r="J107" s="223">
        <v>1</v>
      </c>
      <c r="K107" s="223">
        <v>1</v>
      </c>
      <c r="L107" s="223">
        <v>1</v>
      </c>
      <c r="M107" s="223">
        <v>1</v>
      </c>
      <c r="N107" s="223">
        <v>1</v>
      </c>
      <c r="O107" s="223">
        <v>1</v>
      </c>
      <c r="P107" s="223">
        <v>1</v>
      </c>
      <c r="Q107" s="223">
        <v>1</v>
      </c>
      <c r="R107" s="223">
        <v>1</v>
      </c>
      <c r="S107" s="223">
        <v>1</v>
      </c>
      <c r="T107" s="223">
        <v>1</v>
      </c>
      <c r="U107" s="223">
        <v>1</v>
      </c>
      <c r="V107" s="223">
        <v>1</v>
      </c>
      <c r="W107" s="223">
        <v>1</v>
      </c>
      <c r="X107" s="223">
        <v>1</v>
      </c>
      <c r="Y107" s="223">
        <v>1</v>
      </c>
      <c r="Z107" s="223">
        <v>1</v>
      </c>
      <c r="AA107" s="223">
        <v>1</v>
      </c>
      <c r="AB107" s="223">
        <v>1</v>
      </c>
      <c r="AC107" s="223">
        <v>1</v>
      </c>
      <c r="AD107" s="223">
        <v>1</v>
      </c>
      <c r="AE107" s="223">
        <v>1</v>
      </c>
      <c r="AF107" s="223">
        <v>1</v>
      </c>
      <c r="AG107" s="223">
        <v>1</v>
      </c>
      <c r="AH107" s="223">
        <v>1</v>
      </c>
      <c r="AI107" s="223">
        <v>1</v>
      </c>
      <c r="AJ107" s="223">
        <v>1</v>
      </c>
      <c r="AK107" s="223">
        <v>1</v>
      </c>
      <c r="AL107" s="223">
        <v>1</v>
      </c>
      <c r="AM107" s="223">
        <v>1</v>
      </c>
      <c r="AN107" s="223">
        <v>1</v>
      </c>
      <c r="AO107" s="223">
        <v>1</v>
      </c>
      <c r="AP107" s="223">
        <v>1</v>
      </c>
      <c r="AQ107" s="223">
        <v>1</v>
      </c>
      <c r="AR107" s="223">
        <v>1</v>
      </c>
      <c r="AS107" s="223">
        <v>1</v>
      </c>
      <c r="AT107" s="223"/>
      <c r="AU107" s="223"/>
      <c r="AV107" s="223"/>
      <c r="AW107" s="223"/>
      <c r="AX107" s="223"/>
      <c r="AY107" s="223"/>
      <c r="AZ107" s="223"/>
      <c r="BA107" s="223"/>
      <c r="BB107" s="223"/>
      <c r="BC107" s="223"/>
      <c r="BD107" s="223"/>
      <c r="BE107" s="223"/>
      <c r="BF107" s="223"/>
      <c r="BG107" s="223"/>
      <c r="BH107" s="223"/>
      <c r="BI107" s="223"/>
      <c r="BJ107" s="223"/>
      <c r="BK107" s="223"/>
      <c r="BL107" s="223"/>
      <c r="BM107" s="223"/>
      <c r="BN107" s="223"/>
      <c r="BO107" s="185"/>
      <c r="BP107" s="185"/>
      <c r="BQ107" s="185"/>
      <c r="BR107" s="185"/>
      <c r="BS107" s="185"/>
    </row>
    <row r="108" spans="1:71" x14ac:dyDescent="0.2">
      <c r="A108" s="174">
        <v>4000</v>
      </c>
      <c r="B108" s="204">
        <f t="shared" si="61"/>
        <v>300</v>
      </c>
      <c r="C108" s="174" t="s">
        <v>4419</v>
      </c>
      <c r="D108" s="204">
        <v>25</v>
      </c>
      <c r="E108" s="204">
        <f t="shared" si="60"/>
        <v>1800</v>
      </c>
      <c r="F108" s="174">
        <f t="shared" si="62"/>
        <v>762</v>
      </c>
      <c r="G108" s="185">
        <v>74</v>
      </c>
      <c r="H108" s="223">
        <v>2</v>
      </c>
      <c r="I108" s="223">
        <v>2</v>
      </c>
      <c r="J108" s="223">
        <v>2</v>
      </c>
      <c r="K108" s="223">
        <v>2</v>
      </c>
      <c r="L108" s="223">
        <v>2</v>
      </c>
      <c r="M108" s="223">
        <v>2</v>
      </c>
      <c r="N108" s="223">
        <v>2</v>
      </c>
      <c r="O108" s="223">
        <v>2</v>
      </c>
      <c r="P108" s="223">
        <v>2</v>
      </c>
      <c r="Q108" s="223">
        <v>2</v>
      </c>
      <c r="R108" s="223">
        <v>2</v>
      </c>
      <c r="S108" s="223">
        <v>2</v>
      </c>
      <c r="T108" s="223">
        <v>2</v>
      </c>
      <c r="U108" s="223">
        <v>2</v>
      </c>
      <c r="V108" s="223">
        <v>2</v>
      </c>
      <c r="W108" s="223">
        <v>2</v>
      </c>
      <c r="X108" s="223">
        <v>2</v>
      </c>
      <c r="Y108" s="223">
        <v>2</v>
      </c>
      <c r="Z108" s="223">
        <v>2</v>
      </c>
      <c r="AA108" s="223">
        <v>2</v>
      </c>
      <c r="AB108" s="223">
        <v>2</v>
      </c>
      <c r="AC108" s="223">
        <v>2</v>
      </c>
      <c r="AD108" s="223">
        <v>2</v>
      </c>
      <c r="AE108" s="223">
        <v>2</v>
      </c>
      <c r="AF108" s="223">
        <v>2</v>
      </c>
      <c r="AG108" s="223">
        <v>2</v>
      </c>
      <c r="AH108" s="223">
        <v>2</v>
      </c>
      <c r="AI108" s="223">
        <v>2</v>
      </c>
      <c r="AJ108" s="223">
        <v>2</v>
      </c>
      <c r="AK108" s="223">
        <v>2</v>
      </c>
      <c r="AL108" s="223">
        <v>2</v>
      </c>
      <c r="AM108" s="223">
        <v>2</v>
      </c>
      <c r="AN108" s="223">
        <v>2</v>
      </c>
      <c r="AO108" s="223">
        <v>2</v>
      </c>
      <c r="AP108" s="223">
        <v>2</v>
      </c>
      <c r="AQ108" s="223">
        <v>2</v>
      </c>
      <c r="AR108" s="223">
        <v>2</v>
      </c>
      <c r="AS108" s="223">
        <v>2</v>
      </c>
      <c r="AT108" s="223"/>
      <c r="AU108" s="223"/>
      <c r="AV108" s="223"/>
      <c r="AW108" s="223"/>
      <c r="AX108" s="223"/>
      <c r="AY108" s="223"/>
      <c r="AZ108" s="223"/>
      <c r="BA108" s="223"/>
      <c r="BB108" s="223"/>
      <c r="BC108" s="223"/>
      <c r="BD108" s="223"/>
      <c r="BE108" s="223"/>
      <c r="BF108" s="223"/>
      <c r="BG108" s="223"/>
      <c r="BH108" s="223"/>
      <c r="BI108" s="223"/>
      <c r="BJ108" s="223"/>
      <c r="BK108" s="223"/>
      <c r="BL108" s="223"/>
      <c r="BM108" s="223"/>
      <c r="BN108" s="223"/>
      <c r="BO108" s="185"/>
      <c r="BP108" s="185"/>
      <c r="BQ108" s="185"/>
      <c r="BR108" s="185"/>
      <c r="BS108" s="185"/>
    </row>
    <row r="109" spans="1:71" x14ac:dyDescent="0.2">
      <c r="A109" s="174">
        <v>16000</v>
      </c>
      <c r="B109" s="204">
        <f t="shared" si="61"/>
        <v>600</v>
      </c>
      <c r="C109" s="174" t="s">
        <v>4420</v>
      </c>
      <c r="D109" s="174">
        <v>50</v>
      </c>
      <c r="E109" s="204">
        <f t="shared" si="60"/>
        <v>7200</v>
      </c>
      <c r="F109" s="174">
        <f t="shared" si="62"/>
        <v>1524</v>
      </c>
      <c r="G109" s="185">
        <v>75</v>
      </c>
      <c r="H109" s="223">
        <v>2</v>
      </c>
      <c r="I109" s="223">
        <v>2</v>
      </c>
      <c r="J109" s="223">
        <v>2</v>
      </c>
      <c r="K109" s="223">
        <v>2</v>
      </c>
      <c r="L109" s="223">
        <v>2</v>
      </c>
      <c r="M109" s="223">
        <v>2</v>
      </c>
      <c r="N109" s="223">
        <v>2</v>
      </c>
      <c r="O109" s="223">
        <v>2</v>
      </c>
      <c r="P109" s="223">
        <v>2</v>
      </c>
      <c r="Q109" s="223">
        <v>2</v>
      </c>
      <c r="R109" s="223">
        <v>2</v>
      </c>
      <c r="S109" s="223">
        <v>2</v>
      </c>
      <c r="T109" s="223">
        <v>2</v>
      </c>
      <c r="U109" s="223">
        <v>2</v>
      </c>
      <c r="V109" s="223">
        <v>2</v>
      </c>
      <c r="W109" s="223">
        <v>2</v>
      </c>
      <c r="X109" s="223">
        <v>2</v>
      </c>
      <c r="Y109" s="223">
        <v>2</v>
      </c>
      <c r="Z109" s="223">
        <v>2</v>
      </c>
      <c r="AA109" s="223">
        <v>2</v>
      </c>
      <c r="AB109" s="223">
        <v>2</v>
      </c>
      <c r="AC109" s="223">
        <v>2</v>
      </c>
      <c r="AD109" s="223">
        <v>2</v>
      </c>
      <c r="AE109" s="223">
        <v>2</v>
      </c>
      <c r="AF109" s="223">
        <v>2</v>
      </c>
      <c r="AG109" s="223">
        <v>2</v>
      </c>
      <c r="AH109" s="223">
        <v>2</v>
      </c>
      <c r="AI109" s="223">
        <v>2</v>
      </c>
      <c r="AJ109" s="223">
        <v>2</v>
      </c>
      <c r="AK109" s="223">
        <v>2</v>
      </c>
      <c r="AL109" s="223">
        <v>2</v>
      </c>
      <c r="AM109" s="223">
        <v>2</v>
      </c>
      <c r="AN109" s="223">
        <v>2</v>
      </c>
      <c r="AO109" s="223">
        <v>2</v>
      </c>
      <c r="AP109" s="223">
        <v>2</v>
      </c>
      <c r="AQ109" s="223">
        <v>2</v>
      </c>
      <c r="AR109" s="223">
        <v>2</v>
      </c>
      <c r="AS109" s="223">
        <v>2</v>
      </c>
      <c r="AT109" s="223"/>
      <c r="AU109" s="223"/>
      <c r="AV109" s="223"/>
      <c r="AW109" s="223"/>
      <c r="AX109" s="223"/>
      <c r="AY109" s="223"/>
      <c r="AZ109" s="223"/>
      <c r="BA109" s="223"/>
      <c r="BB109" s="223"/>
      <c r="BC109" s="223"/>
      <c r="BD109" s="223"/>
      <c r="BE109" s="223"/>
      <c r="BF109" s="223"/>
      <c r="BG109" s="223"/>
      <c r="BH109" s="223"/>
      <c r="BI109" s="223"/>
      <c r="BJ109" s="223"/>
      <c r="BK109" s="223"/>
      <c r="BL109" s="223"/>
      <c r="BM109" s="223"/>
      <c r="BN109" s="223"/>
      <c r="BO109" s="185"/>
      <c r="BP109" s="185"/>
      <c r="BQ109" s="185"/>
      <c r="BR109" s="185"/>
      <c r="BS109" s="185"/>
    </row>
    <row r="110" spans="1:71" x14ac:dyDescent="0.2">
      <c r="A110" s="174">
        <v>48000</v>
      </c>
      <c r="B110" s="204">
        <f t="shared" si="61"/>
        <v>1200</v>
      </c>
      <c r="C110" s="174" t="s">
        <v>4421</v>
      </c>
      <c r="D110" s="174">
        <v>100</v>
      </c>
      <c r="E110" s="204">
        <f t="shared" si="60"/>
        <v>21600</v>
      </c>
      <c r="F110" s="174">
        <f t="shared" si="62"/>
        <v>3048</v>
      </c>
      <c r="G110" s="185">
        <v>76</v>
      </c>
      <c r="H110" s="223">
        <v>2</v>
      </c>
      <c r="I110" s="223">
        <v>2</v>
      </c>
      <c r="J110" s="223">
        <v>2</v>
      </c>
      <c r="K110" s="223">
        <v>2</v>
      </c>
      <c r="L110" s="223">
        <v>2</v>
      </c>
      <c r="M110" s="223">
        <v>2</v>
      </c>
      <c r="N110" s="223">
        <v>2</v>
      </c>
      <c r="O110" s="223">
        <v>2</v>
      </c>
      <c r="P110" s="223">
        <v>2</v>
      </c>
      <c r="Q110" s="223">
        <v>2</v>
      </c>
      <c r="R110" s="223">
        <v>2</v>
      </c>
      <c r="S110" s="223">
        <v>2</v>
      </c>
      <c r="T110" s="223">
        <v>2</v>
      </c>
      <c r="U110" s="223">
        <v>2</v>
      </c>
      <c r="V110" s="223">
        <v>2</v>
      </c>
      <c r="W110" s="223">
        <v>2</v>
      </c>
      <c r="X110" s="223">
        <v>2</v>
      </c>
      <c r="Y110" s="223">
        <v>2</v>
      </c>
      <c r="Z110" s="223">
        <v>2</v>
      </c>
      <c r="AA110" s="223">
        <v>2</v>
      </c>
      <c r="AB110" s="223">
        <v>2</v>
      </c>
      <c r="AC110" s="223">
        <v>2</v>
      </c>
      <c r="AD110" s="223">
        <v>2</v>
      </c>
      <c r="AE110" s="223">
        <v>2</v>
      </c>
      <c r="AF110" s="223">
        <v>2</v>
      </c>
      <c r="AG110" s="223">
        <v>2</v>
      </c>
      <c r="AH110" s="223">
        <v>2</v>
      </c>
      <c r="AI110" s="223">
        <v>2</v>
      </c>
      <c r="AJ110" s="223">
        <v>2</v>
      </c>
      <c r="AK110" s="223">
        <v>2</v>
      </c>
      <c r="AL110" s="223">
        <v>2</v>
      </c>
      <c r="AM110" s="223">
        <v>2</v>
      </c>
      <c r="AN110" s="223">
        <v>2</v>
      </c>
      <c r="AO110" s="223">
        <v>2</v>
      </c>
      <c r="AP110" s="223">
        <v>2</v>
      </c>
      <c r="AQ110" s="223">
        <v>2</v>
      </c>
      <c r="AR110" s="223">
        <v>2</v>
      </c>
      <c r="AS110" s="223">
        <v>2</v>
      </c>
      <c r="AT110" s="223"/>
      <c r="AU110" s="223"/>
      <c r="AV110" s="223"/>
      <c r="AW110" s="223"/>
      <c r="AX110" s="223"/>
      <c r="AY110" s="223"/>
      <c r="AZ110" s="223"/>
      <c r="BA110" s="223"/>
      <c r="BB110" s="223"/>
      <c r="BC110" s="223"/>
      <c r="BD110" s="223"/>
      <c r="BE110" s="223"/>
      <c r="BF110" s="223"/>
      <c r="BG110" s="223"/>
      <c r="BH110" s="223"/>
      <c r="BI110" s="223"/>
      <c r="BJ110" s="223"/>
      <c r="BK110" s="223"/>
      <c r="BL110" s="223"/>
      <c r="BM110" s="223"/>
      <c r="BN110" s="223"/>
      <c r="BO110" s="185"/>
      <c r="BP110" s="185"/>
      <c r="BQ110" s="185"/>
      <c r="BR110" s="185"/>
      <c r="BS110" s="185"/>
    </row>
    <row r="111" spans="1:71" x14ac:dyDescent="0.2">
      <c r="G111" s="185">
        <v>77</v>
      </c>
      <c r="H111" s="223">
        <v>2</v>
      </c>
      <c r="I111" s="223">
        <v>2</v>
      </c>
      <c r="J111" s="223">
        <v>2</v>
      </c>
      <c r="K111" s="223">
        <v>2</v>
      </c>
      <c r="L111" s="223">
        <v>2</v>
      </c>
      <c r="M111" s="223">
        <v>2</v>
      </c>
      <c r="N111" s="223">
        <v>2</v>
      </c>
      <c r="O111" s="223">
        <v>2</v>
      </c>
      <c r="P111" s="223">
        <v>2</v>
      </c>
      <c r="Q111" s="223">
        <v>2</v>
      </c>
      <c r="R111" s="223">
        <v>2</v>
      </c>
      <c r="S111" s="223">
        <v>2</v>
      </c>
      <c r="T111" s="223">
        <v>2</v>
      </c>
      <c r="U111" s="223">
        <v>2</v>
      </c>
      <c r="V111" s="223">
        <v>2</v>
      </c>
      <c r="W111" s="223">
        <v>2</v>
      </c>
      <c r="X111" s="223">
        <v>2</v>
      </c>
      <c r="Y111" s="223">
        <v>2</v>
      </c>
      <c r="Z111" s="223">
        <v>2</v>
      </c>
      <c r="AA111" s="223">
        <v>2</v>
      </c>
      <c r="AB111" s="223">
        <v>2</v>
      </c>
      <c r="AC111" s="223">
        <v>2</v>
      </c>
      <c r="AD111" s="223">
        <v>2</v>
      </c>
      <c r="AE111" s="223">
        <v>2</v>
      </c>
      <c r="AF111" s="223">
        <v>2</v>
      </c>
      <c r="AG111" s="223">
        <v>2</v>
      </c>
      <c r="AH111" s="223">
        <v>2</v>
      </c>
      <c r="AI111" s="223">
        <v>2</v>
      </c>
      <c r="AJ111" s="223">
        <v>2</v>
      </c>
      <c r="AK111" s="223">
        <v>2</v>
      </c>
      <c r="AL111" s="223">
        <v>2</v>
      </c>
      <c r="AM111" s="223">
        <v>2</v>
      </c>
      <c r="AN111" s="223">
        <v>2</v>
      </c>
      <c r="AO111" s="223">
        <v>2</v>
      </c>
      <c r="AP111" s="223">
        <v>2</v>
      </c>
      <c r="AQ111" s="223">
        <v>2</v>
      </c>
      <c r="AR111" s="223">
        <v>2</v>
      </c>
      <c r="AS111" s="223">
        <v>2</v>
      </c>
      <c r="AT111" s="223"/>
      <c r="AU111" s="223"/>
      <c r="AV111" s="223"/>
      <c r="AW111" s="223"/>
      <c r="AX111" s="223"/>
      <c r="AY111" s="223"/>
      <c r="AZ111" s="223"/>
      <c r="BA111" s="223"/>
      <c r="BB111" s="223"/>
      <c r="BC111" s="223"/>
      <c r="BD111" s="223"/>
      <c r="BE111" s="223"/>
      <c r="BF111" s="223"/>
      <c r="BG111" s="223"/>
      <c r="BH111" s="223"/>
      <c r="BI111" s="223"/>
      <c r="BJ111" s="223"/>
      <c r="BK111" s="223"/>
      <c r="BL111" s="223"/>
      <c r="BM111" s="223"/>
      <c r="BN111" s="223"/>
      <c r="BO111" s="185"/>
      <c r="BP111" s="185"/>
      <c r="BQ111" s="185"/>
      <c r="BR111" s="185"/>
      <c r="BS111" s="185"/>
    </row>
    <row r="112" spans="1:71" x14ac:dyDescent="0.2">
      <c r="A112" s="174" t="str">
        <f>VLOOKUP(B38,A100:C110,3)</f>
        <v>small</v>
      </c>
      <c r="B112" s="174" t="str">
        <f>VLOOKUP((Stats!B3*100/2.54),HW!B100:C110,2)</f>
        <v>small</v>
      </c>
      <c r="G112" s="185">
        <v>78</v>
      </c>
      <c r="H112" s="223">
        <v>2</v>
      </c>
      <c r="I112" s="223">
        <v>2</v>
      </c>
      <c r="J112" s="223">
        <v>2</v>
      </c>
      <c r="K112" s="223">
        <v>2</v>
      </c>
      <c r="L112" s="223">
        <v>2</v>
      </c>
      <c r="M112" s="223">
        <v>2</v>
      </c>
      <c r="N112" s="223">
        <v>2</v>
      </c>
      <c r="O112" s="223">
        <v>2</v>
      </c>
      <c r="P112" s="223">
        <v>2</v>
      </c>
      <c r="Q112" s="223">
        <v>2</v>
      </c>
      <c r="R112" s="223">
        <v>2</v>
      </c>
      <c r="S112" s="223">
        <v>2</v>
      </c>
      <c r="T112" s="223">
        <v>2</v>
      </c>
      <c r="U112" s="223">
        <v>2</v>
      </c>
      <c r="V112" s="223">
        <v>2</v>
      </c>
      <c r="W112" s="223">
        <v>2</v>
      </c>
      <c r="X112" s="223">
        <v>2</v>
      </c>
      <c r="Y112" s="223">
        <v>2</v>
      </c>
      <c r="Z112" s="223">
        <v>2</v>
      </c>
      <c r="AA112" s="223">
        <v>2</v>
      </c>
      <c r="AB112" s="223">
        <v>2</v>
      </c>
      <c r="AC112" s="223">
        <v>2</v>
      </c>
      <c r="AD112" s="223">
        <v>2</v>
      </c>
      <c r="AE112" s="223">
        <v>2</v>
      </c>
      <c r="AF112" s="223">
        <v>2</v>
      </c>
      <c r="AG112" s="223">
        <v>2</v>
      </c>
      <c r="AH112" s="223">
        <v>2</v>
      </c>
      <c r="AI112" s="223">
        <v>2</v>
      </c>
      <c r="AJ112" s="223">
        <v>2</v>
      </c>
      <c r="AK112" s="223">
        <v>2</v>
      </c>
      <c r="AL112" s="223">
        <v>2</v>
      </c>
      <c r="AM112" s="223">
        <v>2</v>
      </c>
      <c r="AN112" s="223">
        <v>2</v>
      </c>
      <c r="AO112" s="223">
        <v>2</v>
      </c>
      <c r="AP112" s="223">
        <v>2</v>
      </c>
      <c r="AQ112" s="223">
        <v>2</v>
      </c>
      <c r="AR112" s="223">
        <v>2</v>
      </c>
      <c r="AS112" s="223">
        <v>2</v>
      </c>
      <c r="AT112" s="223"/>
      <c r="AU112" s="223"/>
      <c r="AV112" s="223"/>
      <c r="AW112" s="223"/>
      <c r="AX112" s="223"/>
      <c r="AY112" s="223"/>
      <c r="AZ112" s="223"/>
      <c r="BA112" s="223"/>
      <c r="BB112" s="223"/>
      <c r="BC112" s="223"/>
      <c r="BD112" s="223"/>
      <c r="BE112" s="223"/>
      <c r="BF112" s="223"/>
      <c r="BG112" s="223"/>
      <c r="BH112" s="223"/>
      <c r="BI112" s="223"/>
      <c r="BJ112" s="223"/>
      <c r="BK112" s="223"/>
      <c r="BL112" s="223"/>
      <c r="BM112" s="223"/>
      <c r="BN112" s="223"/>
      <c r="BO112" s="185"/>
      <c r="BP112" s="185"/>
      <c r="BQ112" s="185"/>
      <c r="BR112" s="185"/>
      <c r="BS112" s="185"/>
    </row>
    <row r="113" spans="2:71" x14ac:dyDescent="0.2">
      <c r="G113" s="185">
        <v>79</v>
      </c>
      <c r="H113" s="223">
        <v>2</v>
      </c>
      <c r="I113" s="223">
        <v>2</v>
      </c>
      <c r="J113" s="223">
        <v>2</v>
      </c>
      <c r="K113" s="223">
        <v>2</v>
      </c>
      <c r="L113" s="223">
        <v>2</v>
      </c>
      <c r="M113" s="223">
        <v>2</v>
      </c>
      <c r="N113" s="223">
        <v>2</v>
      </c>
      <c r="O113" s="223">
        <v>2</v>
      </c>
      <c r="P113" s="223">
        <v>2</v>
      </c>
      <c r="Q113" s="223">
        <v>2</v>
      </c>
      <c r="R113" s="223">
        <v>2</v>
      </c>
      <c r="S113" s="223">
        <v>2</v>
      </c>
      <c r="T113" s="223">
        <v>2</v>
      </c>
      <c r="U113" s="223">
        <v>2</v>
      </c>
      <c r="V113" s="223">
        <v>2</v>
      </c>
      <c r="W113" s="223">
        <v>2</v>
      </c>
      <c r="X113" s="223">
        <v>2</v>
      </c>
      <c r="Y113" s="223">
        <v>2</v>
      </c>
      <c r="Z113" s="223">
        <v>2</v>
      </c>
      <c r="AA113" s="223">
        <v>2</v>
      </c>
      <c r="AB113" s="223">
        <v>2</v>
      </c>
      <c r="AC113" s="223">
        <v>2</v>
      </c>
      <c r="AD113" s="223">
        <v>2</v>
      </c>
      <c r="AE113" s="223">
        <v>2</v>
      </c>
      <c r="AF113" s="223">
        <v>2</v>
      </c>
      <c r="AG113" s="223">
        <v>2</v>
      </c>
      <c r="AH113" s="223">
        <v>2</v>
      </c>
      <c r="AI113" s="223">
        <v>2</v>
      </c>
      <c r="AJ113" s="223">
        <v>2</v>
      </c>
      <c r="AK113" s="223">
        <v>2</v>
      </c>
      <c r="AL113" s="223">
        <v>2</v>
      </c>
      <c r="AM113" s="223">
        <v>2</v>
      </c>
      <c r="AN113" s="223">
        <v>2</v>
      </c>
      <c r="AO113" s="223">
        <v>2</v>
      </c>
      <c r="AP113" s="223">
        <v>2</v>
      </c>
      <c r="AQ113" s="223">
        <v>2</v>
      </c>
      <c r="AR113" s="223">
        <v>2</v>
      </c>
      <c r="AS113" s="223">
        <v>2</v>
      </c>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185"/>
      <c r="BP113" s="185"/>
      <c r="BQ113" s="185"/>
      <c r="BR113" s="185"/>
      <c r="BS113" s="185"/>
    </row>
    <row r="114" spans="2:71" x14ac:dyDescent="0.2">
      <c r="G114" s="185">
        <v>80</v>
      </c>
      <c r="H114" s="223">
        <v>2</v>
      </c>
      <c r="I114" s="223">
        <v>2</v>
      </c>
      <c r="J114" s="223">
        <v>2</v>
      </c>
      <c r="K114" s="223">
        <v>2</v>
      </c>
      <c r="L114" s="223">
        <v>2</v>
      </c>
      <c r="M114" s="223">
        <v>2</v>
      </c>
      <c r="N114" s="223">
        <v>2</v>
      </c>
      <c r="O114" s="223">
        <v>2</v>
      </c>
      <c r="P114" s="223">
        <v>2</v>
      </c>
      <c r="Q114" s="223">
        <v>2</v>
      </c>
      <c r="R114" s="223">
        <v>2</v>
      </c>
      <c r="S114" s="223">
        <v>2</v>
      </c>
      <c r="T114" s="223">
        <v>2</v>
      </c>
      <c r="U114" s="223">
        <v>2</v>
      </c>
      <c r="V114" s="223">
        <v>2</v>
      </c>
      <c r="W114" s="223">
        <v>2</v>
      </c>
      <c r="X114" s="223">
        <v>2</v>
      </c>
      <c r="Y114" s="223">
        <v>2</v>
      </c>
      <c r="Z114" s="223">
        <v>2</v>
      </c>
      <c r="AA114" s="223">
        <v>2</v>
      </c>
      <c r="AB114" s="223">
        <v>2</v>
      </c>
      <c r="AC114" s="223">
        <v>2</v>
      </c>
      <c r="AD114" s="223">
        <v>2</v>
      </c>
      <c r="AE114" s="223">
        <v>2</v>
      </c>
      <c r="AF114" s="223">
        <v>2</v>
      </c>
      <c r="AG114" s="223">
        <v>2</v>
      </c>
      <c r="AH114" s="223">
        <v>2</v>
      </c>
      <c r="AI114" s="223">
        <v>2</v>
      </c>
      <c r="AJ114" s="223">
        <v>2</v>
      </c>
      <c r="AK114" s="223">
        <v>2</v>
      </c>
      <c r="AL114" s="223">
        <v>2</v>
      </c>
      <c r="AM114" s="223">
        <v>2</v>
      </c>
      <c r="AN114" s="223">
        <v>2</v>
      </c>
      <c r="AO114" s="223">
        <v>2</v>
      </c>
      <c r="AP114" s="223">
        <v>2</v>
      </c>
      <c r="AQ114" s="223">
        <v>2</v>
      </c>
      <c r="AR114" s="223">
        <v>2</v>
      </c>
      <c r="AS114" s="223">
        <v>2</v>
      </c>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185"/>
      <c r="BP114" s="185"/>
      <c r="BQ114" s="185"/>
      <c r="BR114" s="185"/>
      <c r="BS114" s="185"/>
    </row>
    <row r="115" spans="2:71" x14ac:dyDescent="0.2">
      <c r="G115" s="185">
        <v>81</v>
      </c>
      <c r="H115" s="223">
        <v>3</v>
      </c>
      <c r="I115" s="223">
        <v>3</v>
      </c>
      <c r="J115" s="223">
        <v>3</v>
      </c>
      <c r="K115" s="223">
        <v>3</v>
      </c>
      <c r="L115" s="223">
        <v>3</v>
      </c>
      <c r="M115" s="223">
        <v>3</v>
      </c>
      <c r="N115" s="223">
        <v>3</v>
      </c>
      <c r="O115" s="223">
        <v>3</v>
      </c>
      <c r="P115" s="223">
        <v>3</v>
      </c>
      <c r="Q115" s="223">
        <v>3</v>
      </c>
      <c r="R115" s="223">
        <v>3</v>
      </c>
      <c r="S115" s="223">
        <v>3</v>
      </c>
      <c r="T115" s="223">
        <v>3</v>
      </c>
      <c r="U115" s="223">
        <v>3</v>
      </c>
      <c r="V115" s="223">
        <v>3</v>
      </c>
      <c r="W115" s="223">
        <v>3</v>
      </c>
      <c r="X115" s="223">
        <v>3</v>
      </c>
      <c r="Y115" s="223">
        <v>3</v>
      </c>
      <c r="Z115" s="223">
        <v>3</v>
      </c>
      <c r="AA115" s="223">
        <v>3</v>
      </c>
      <c r="AB115" s="223">
        <v>3</v>
      </c>
      <c r="AC115" s="223">
        <v>3</v>
      </c>
      <c r="AD115" s="223">
        <v>3</v>
      </c>
      <c r="AE115" s="223">
        <v>3</v>
      </c>
      <c r="AF115" s="223">
        <v>3</v>
      </c>
      <c r="AG115" s="223">
        <v>3</v>
      </c>
      <c r="AH115" s="223">
        <v>3</v>
      </c>
      <c r="AI115" s="223">
        <v>3</v>
      </c>
      <c r="AJ115" s="223">
        <v>3</v>
      </c>
      <c r="AK115" s="223">
        <v>3</v>
      </c>
      <c r="AL115" s="223">
        <v>3</v>
      </c>
      <c r="AM115" s="223">
        <v>3</v>
      </c>
      <c r="AN115" s="223">
        <v>3</v>
      </c>
      <c r="AO115" s="223">
        <v>3</v>
      </c>
      <c r="AP115" s="223">
        <v>3</v>
      </c>
      <c r="AQ115" s="223">
        <v>3</v>
      </c>
      <c r="AR115" s="223">
        <v>3</v>
      </c>
      <c r="AS115" s="223">
        <v>3</v>
      </c>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185"/>
      <c r="BP115" s="185"/>
      <c r="BQ115" s="185"/>
      <c r="BR115" s="185"/>
      <c r="BS115" s="185"/>
    </row>
    <row r="116" spans="2:71" x14ac:dyDescent="0.2">
      <c r="G116" s="185">
        <v>82</v>
      </c>
      <c r="H116" s="223">
        <v>3</v>
      </c>
      <c r="I116" s="223">
        <v>3</v>
      </c>
      <c r="J116" s="223">
        <v>3</v>
      </c>
      <c r="K116" s="223">
        <v>3</v>
      </c>
      <c r="L116" s="223">
        <v>3</v>
      </c>
      <c r="M116" s="223">
        <v>3</v>
      </c>
      <c r="N116" s="223">
        <v>3</v>
      </c>
      <c r="O116" s="223">
        <v>3</v>
      </c>
      <c r="P116" s="223">
        <v>3</v>
      </c>
      <c r="Q116" s="223">
        <v>3</v>
      </c>
      <c r="R116" s="223">
        <v>3</v>
      </c>
      <c r="S116" s="223">
        <v>3</v>
      </c>
      <c r="T116" s="223">
        <v>3</v>
      </c>
      <c r="U116" s="223">
        <v>3</v>
      </c>
      <c r="V116" s="223">
        <v>3</v>
      </c>
      <c r="W116" s="223">
        <v>3</v>
      </c>
      <c r="X116" s="223">
        <v>3</v>
      </c>
      <c r="Y116" s="223">
        <v>3</v>
      </c>
      <c r="Z116" s="223">
        <v>3</v>
      </c>
      <c r="AA116" s="223">
        <v>3</v>
      </c>
      <c r="AB116" s="223">
        <v>3</v>
      </c>
      <c r="AC116" s="223">
        <v>3</v>
      </c>
      <c r="AD116" s="223">
        <v>3</v>
      </c>
      <c r="AE116" s="223">
        <v>3</v>
      </c>
      <c r="AF116" s="223">
        <v>3</v>
      </c>
      <c r="AG116" s="223">
        <v>3</v>
      </c>
      <c r="AH116" s="223">
        <v>3</v>
      </c>
      <c r="AI116" s="223">
        <v>3</v>
      </c>
      <c r="AJ116" s="223">
        <v>3</v>
      </c>
      <c r="AK116" s="223">
        <v>3</v>
      </c>
      <c r="AL116" s="223">
        <v>3</v>
      </c>
      <c r="AM116" s="223">
        <v>3</v>
      </c>
      <c r="AN116" s="223">
        <v>3</v>
      </c>
      <c r="AO116" s="223">
        <v>3</v>
      </c>
      <c r="AP116" s="223">
        <v>3</v>
      </c>
      <c r="AQ116" s="223">
        <v>3</v>
      </c>
      <c r="AR116" s="223">
        <v>3</v>
      </c>
      <c r="AS116" s="223">
        <v>3</v>
      </c>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185"/>
      <c r="BP116" s="185"/>
      <c r="BQ116" s="185"/>
      <c r="BR116" s="185"/>
      <c r="BS116" s="185"/>
    </row>
    <row r="117" spans="2:71" x14ac:dyDescent="0.2">
      <c r="G117" s="185">
        <v>83</v>
      </c>
      <c r="H117" s="223">
        <v>3</v>
      </c>
      <c r="I117" s="223">
        <v>3</v>
      </c>
      <c r="J117" s="223">
        <v>3</v>
      </c>
      <c r="K117" s="223">
        <v>3</v>
      </c>
      <c r="L117" s="223">
        <v>3</v>
      </c>
      <c r="M117" s="223">
        <v>3</v>
      </c>
      <c r="N117" s="223">
        <v>3</v>
      </c>
      <c r="O117" s="223">
        <v>3</v>
      </c>
      <c r="P117" s="223">
        <v>3</v>
      </c>
      <c r="Q117" s="223">
        <v>3</v>
      </c>
      <c r="R117" s="223">
        <v>3</v>
      </c>
      <c r="S117" s="223">
        <v>3</v>
      </c>
      <c r="T117" s="223">
        <v>3</v>
      </c>
      <c r="U117" s="223">
        <v>3</v>
      </c>
      <c r="V117" s="223">
        <v>3</v>
      </c>
      <c r="W117" s="223">
        <v>3</v>
      </c>
      <c r="X117" s="223">
        <v>3</v>
      </c>
      <c r="Y117" s="223">
        <v>3</v>
      </c>
      <c r="Z117" s="223">
        <v>3</v>
      </c>
      <c r="AA117" s="223">
        <v>3</v>
      </c>
      <c r="AB117" s="223">
        <v>3</v>
      </c>
      <c r="AC117" s="223">
        <v>3</v>
      </c>
      <c r="AD117" s="223">
        <v>3</v>
      </c>
      <c r="AE117" s="223">
        <v>3</v>
      </c>
      <c r="AF117" s="223">
        <v>3</v>
      </c>
      <c r="AG117" s="223">
        <v>3</v>
      </c>
      <c r="AH117" s="223">
        <v>3</v>
      </c>
      <c r="AI117" s="223">
        <v>3</v>
      </c>
      <c r="AJ117" s="223">
        <v>3</v>
      </c>
      <c r="AK117" s="223">
        <v>3</v>
      </c>
      <c r="AL117" s="223">
        <v>3</v>
      </c>
      <c r="AM117" s="223">
        <v>3</v>
      </c>
      <c r="AN117" s="223">
        <v>3</v>
      </c>
      <c r="AO117" s="223">
        <v>3</v>
      </c>
      <c r="AP117" s="223">
        <v>3</v>
      </c>
      <c r="AQ117" s="223">
        <v>3</v>
      </c>
      <c r="AR117" s="223">
        <v>3</v>
      </c>
      <c r="AS117" s="223">
        <v>3</v>
      </c>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185"/>
      <c r="BP117" s="185"/>
      <c r="BQ117" s="185"/>
      <c r="BR117" s="185"/>
      <c r="BS117" s="185"/>
    </row>
    <row r="118" spans="2:71" x14ac:dyDescent="0.2">
      <c r="B118" s="174">
        <f>Stats!B3*100/2.54</f>
        <v>28.122047244094489</v>
      </c>
      <c r="G118" s="185">
        <v>84</v>
      </c>
      <c r="H118" s="223">
        <v>3</v>
      </c>
      <c r="I118" s="223">
        <v>3</v>
      </c>
      <c r="J118" s="223">
        <v>3</v>
      </c>
      <c r="K118" s="223">
        <v>3</v>
      </c>
      <c r="L118" s="223">
        <v>3</v>
      </c>
      <c r="M118" s="223">
        <v>3</v>
      </c>
      <c r="N118" s="223">
        <v>3</v>
      </c>
      <c r="O118" s="223">
        <v>3</v>
      </c>
      <c r="P118" s="223">
        <v>3</v>
      </c>
      <c r="Q118" s="223">
        <v>3</v>
      </c>
      <c r="R118" s="223">
        <v>3</v>
      </c>
      <c r="S118" s="223">
        <v>3</v>
      </c>
      <c r="T118" s="223">
        <v>3</v>
      </c>
      <c r="U118" s="223">
        <v>3</v>
      </c>
      <c r="V118" s="223">
        <v>3</v>
      </c>
      <c r="W118" s="223">
        <v>3</v>
      </c>
      <c r="X118" s="223">
        <v>3</v>
      </c>
      <c r="Y118" s="223">
        <v>3</v>
      </c>
      <c r="Z118" s="223">
        <v>3</v>
      </c>
      <c r="AA118" s="223">
        <v>3</v>
      </c>
      <c r="AB118" s="223">
        <v>3</v>
      </c>
      <c r="AC118" s="223">
        <v>3</v>
      </c>
      <c r="AD118" s="223">
        <v>3</v>
      </c>
      <c r="AE118" s="223">
        <v>3</v>
      </c>
      <c r="AF118" s="223">
        <v>3</v>
      </c>
      <c r="AG118" s="223">
        <v>3</v>
      </c>
      <c r="AH118" s="223">
        <v>3</v>
      </c>
      <c r="AI118" s="223">
        <v>3</v>
      </c>
      <c r="AJ118" s="223">
        <v>3</v>
      </c>
      <c r="AK118" s="223">
        <v>3</v>
      </c>
      <c r="AL118" s="223">
        <v>3</v>
      </c>
      <c r="AM118" s="223">
        <v>3</v>
      </c>
      <c r="AN118" s="223">
        <v>3</v>
      </c>
      <c r="AO118" s="223">
        <v>3</v>
      </c>
      <c r="AP118" s="223">
        <v>3</v>
      </c>
      <c r="AQ118" s="223">
        <v>3</v>
      </c>
      <c r="AR118" s="223">
        <v>3</v>
      </c>
      <c r="AS118" s="223">
        <v>3</v>
      </c>
      <c r="AT118" s="223"/>
      <c r="AU118" s="223"/>
      <c r="AV118" s="223"/>
      <c r="AW118" s="223"/>
      <c r="AX118" s="223"/>
      <c r="AY118" s="223"/>
      <c r="AZ118" s="223"/>
      <c r="BA118" s="223"/>
      <c r="BB118" s="223"/>
      <c r="BC118" s="223"/>
      <c r="BD118" s="223"/>
      <c r="BE118" s="223"/>
      <c r="BF118" s="223"/>
      <c r="BG118" s="223"/>
      <c r="BH118" s="223"/>
      <c r="BI118" s="223"/>
      <c r="BJ118" s="223"/>
      <c r="BK118" s="223"/>
      <c r="BL118" s="223"/>
      <c r="BM118" s="223"/>
      <c r="BN118" s="223"/>
      <c r="BO118" s="185"/>
      <c r="BP118" s="185"/>
      <c r="BQ118" s="185"/>
      <c r="BR118" s="185"/>
      <c r="BS118" s="185"/>
    </row>
    <row r="119" spans="2:71" x14ac:dyDescent="0.2">
      <c r="G119" s="185">
        <v>85</v>
      </c>
      <c r="H119" s="223">
        <v>4</v>
      </c>
      <c r="I119" s="223">
        <v>4</v>
      </c>
      <c r="J119" s="223">
        <v>4</v>
      </c>
      <c r="K119" s="223">
        <v>4</v>
      </c>
      <c r="L119" s="223">
        <v>4</v>
      </c>
      <c r="M119" s="223">
        <v>4</v>
      </c>
      <c r="N119" s="223">
        <v>4</v>
      </c>
      <c r="O119" s="223">
        <v>4</v>
      </c>
      <c r="P119" s="223">
        <v>4</v>
      </c>
      <c r="Q119" s="223">
        <v>4</v>
      </c>
      <c r="R119" s="223">
        <v>4</v>
      </c>
      <c r="S119" s="223">
        <v>4</v>
      </c>
      <c r="T119" s="223">
        <v>4</v>
      </c>
      <c r="U119" s="223">
        <v>4</v>
      </c>
      <c r="V119" s="223">
        <v>4</v>
      </c>
      <c r="W119" s="223">
        <v>4</v>
      </c>
      <c r="X119" s="223">
        <v>4</v>
      </c>
      <c r="Y119" s="223">
        <v>4</v>
      </c>
      <c r="Z119" s="223">
        <v>4</v>
      </c>
      <c r="AA119" s="223">
        <v>4</v>
      </c>
      <c r="AB119" s="223">
        <v>4</v>
      </c>
      <c r="AC119" s="223">
        <v>4</v>
      </c>
      <c r="AD119" s="223">
        <v>4</v>
      </c>
      <c r="AE119" s="223">
        <v>4</v>
      </c>
      <c r="AF119" s="223">
        <v>4</v>
      </c>
      <c r="AG119" s="223">
        <v>4</v>
      </c>
      <c r="AH119" s="223">
        <v>4</v>
      </c>
      <c r="AI119" s="223">
        <v>4</v>
      </c>
      <c r="AJ119" s="223">
        <v>4</v>
      </c>
      <c r="AK119" s="223">
        <v>4</v>
      </c>
      <c r="AL119" s="223">
        <v>4</v>
      </c>
      <c r="AM119" s="223">
        <v>4</v>
      </c>
      <c r="AN119" s="223">
        <v>4</v>
      </c>
      <c r="AO119" s="223">
        <v>4</v>
      </c>
      <c r="AP119" s="223">
        <v>4</v>
      </c>
      <c r="AQ119" s="223">
        <v>4</v>
      </c>
      <c r="AR119" s="223">
        <v>4</v>
      </c>
      <c r="AS119" s="223">
        <v>4</v>
      </c>
      <c r="AT119" s="223"/>
      <c r="AU119" s="223"/>
      <c r="AV119" s="223"/>
      <c r="AW119" s="223"/>
      <c r="AX119" s="223"/>
      <c r="AY119" s="223"/>
      <c r="AZ119" s="223"/>
      <c r="BA119" s="223"/>
      <c r="BB119" s="223"/>
      <c r="BC119" s="223"/>
      <c r="BD119" s="223"/>
      <c r="BE119" s="223"/>
      <c r="BF119" s="223"/>
      <c r="BG119" s="223"/>
      <c r="BH119" s="223"/>
      <c r="BI119" s="223"/>
      <c r="BJ119" s="223"/>
      <c r="BK119" s="223"/>
      <c r="BL119" s="223"/>
      <c r="BM119" s="223"/>
      <c r="BN119" s="223"/>
      <c r="BO119" s="185"/>
      <c r="BP119" s="185"/>
      <c r="BQ119" s="185"/>
      <c r="BR119" s="185"/>
      <c r="BS119" s="185"/>
    </row>
    <row r="120" spans="2:71" x14ac:dyDescent="0.2">
      <c r="G120" s="185">
        <v>86</v>
      </c>
      <c r="H120" s="223">
        <v>4</v>
      </c>
      <c r="I120" s="223">
        <v>4</v>
      </c>
      <c r="J120" s="223">
        <v>4</v>
      </c>
      <c r="K120" s="223">
        <v>4</v>
      </c>
      <c r="L120" s="223">
        <v>4</v>
      </c>
      <c r="M120" s="223">
        <v>4</v>
      </c>
      <c r="N120" s="223">
        <v>4</v>
      </c>
      <c r="O120" s="223">
        <v>4</v>
      </c>
      <c r="P120" s="223">
        <v>4</v>
      </c>
      <c r="Q120" s="223">
        <v>4</v>
      </c>
      <c r="R120" s="223">
        <v>4</v>
      </c>
      <c r="S120" s="223">
        <v>4</v>
      </c>
      <c r="T120" s="223">
        <v>4</v>
      </c>
      <c r="U120" s="223">
        <v>4</v>
      </c>
      <c r="V120" s="223">
        <v>4</v>
      </c>
      <c r="W120" s="223">
        <v>4</v>
      </c>
      <c r="X120" s="223">
        <v>4</v>
      </c>
      <c r="Y120" s="223">
        <v>4</v>
      </c>
      <c r="Z120" s="223">
        <v>4</v>
      </c>
      <c r="AA120" s="223">
        <v>4</v>
      </c>
      <c r="AB120" s="223">
        <v>4</v>
      </c>
      <c r="AC120" s="223">
        <v>4</v>
      </c>
      <c r="AD120" s="223">
        <v>4</v>
      </c>
      <c r="AE120" s="223">
        <v>4</v>
      </c>
      <c r="AF120" s="223">
        <v>4</v>
      </c>
      <c r="AG120" s="223">
        <v>4</v>
      </c>
      <c r="AH120" s="223">
        <v>4</v>
      </c>
      <c r="AI120" s="223">
        <v>4</v>
      </c>
      <c r="AJ120" s="223">
        <v>4</v>
      </c>
      <c r="AK120" s="223">
        <v>4</v>
      </c>
      <c r="AL120" s="223">
        <v>4</v>
      </c>
      <c r="AM120" s="223">
        <v>4</v>
      </c>
      <c r="AN120" s="223">
        <v>4</v>
      </c>
      <c r="AO120" s="223">
        <v>4</v>
      </c>
      <c r="AP120" s="223">
        <v>4</v>
      </c>
      <c r="AQ120" s="223">
        <v>4</v>
      </c>
      <c r="AR120" s="223">
        <v>4</v>
      </c>
      <c r="AS120" s="223">
        <v>4</v>
      </c>
      <c r="AT120" s="223"/>
      <c r="AU120" s="223"/>
      <c r="AV120" s="223"/>
      <c r="AW120" s="223"/>
      <c r="AX120" s="223"/>
      <c r="AY120" s="223"/>
      <c r="AZ120" s="223"/>
      <c r="BA120" s="223"/>
      <c r="BB120" s="223"/>
      <c r="BC120" s="223"/>
      <c r="BD120" s="223"/>
      <c r="BE120" s="223"/>
      <c r="BF120" s="223"/>
      <c r="BG120" s="223"/>
      <c r="BH120" s="223"/>
      <c r="BI120" s="223"/>
      <c r="BJ120" s="223"/>
      <c r="BK120" s="223"/>
      <c r="BL120" s="223"/>
      <c r="BM120" s="223"/>
      <c r="BN120" s="223"/>
      <c r="BO120" s="185"/>
      <c r="BP120" s="185"/>
      <c r="BQ120" s="185"/>
      <c r="BR120" s="185"/>
      <c r="BS120" s="185"/>
    </row>
    <row r="121" spans="2:71" x14ac:dyDescent="0.2">
      <c r="B121" s="174" t="s">
        <v>3534</v>
      </c>
      <c r="C121" s="174">
        <v>100</v>
      </c>
      <c r="G121" s="185">
        <v>87</v>
      </c>
      <c r="H121" s="223">
        <v>4</v>
      </c>
      <c r="I121" s="223">
        <v>4</v>
      </c>
      <c r="J121" s="223">
        <v>4</v>
      </c>
      <c r="K121" s="223">
        <v>4</v>
      </c>
      <c r="L121" s="223">
        <v>4</v>
      </c>
      <c r="M121" s="223">
        <v>4</v>
      </c>
      <c r="N121" s="223">
        <v>4</v>
      </c>
      <c r="O121" s="223">
        <v>4</v>
      </c>
      <c r="P121" s="223">
        <v>4</v>
      </c>
      <c r="Q121" s="223">
        <v>4</v>
      </c>
      <c r="R121" s="223">
        <v>4</v>
      </c>
      <c r="S121" s="223">
        <v>4</v>
      </c>
      <c r="T121" s="223">
        <v>4</v>
      </c>
      <c r="U121" s="223">
        <v>4</v>
      </c>
      <c r="V121" s="223">
        <v>4</v>
      </c>
      <c r="W121" s="223">
        <v>4</v>
      </c>
      <c r="X121" s="223">
        <v>4</v>
      </c>
      <c r="Y121" s="223">
        <v>4</v>
      </c>
      <c r="Z121" s="223">
        <v>4</v>
      </c>
      <c r="AA121" s="223">
        <v>4</v>
      </c>
      <c r="AB121" s="223">
        <v>4</v>
      </c>
      <c r="AC121" s="223">
        <v>4</v>
      </c>
      <c r="AD121" s="223">
        <v>4</v>
      </c>
      <c r="AE121" s="223">
        <v>4</v>
      </c>
      <c r="AF121" s="223">
        <v>4</v>
      </c>
      <c r="AG121" s="223">
        <v>4</v>
      </c>
      <c r="AH121" s="223">
        <v>4</v>
      </c>
      <c r="AI121" s="223">
        <v>4</v>
      </c>
      <c r="AJ121" s="223">
        <v>4</v>
      </c>
      <c r="AK121" s="223">
        <v>4</v>
      </c>
      <c r="AL121" s="223">
        <v>4</v>
      </c>
      <c r="AM121" s="223">
        <v>4</v>
      </c>
      <c r="AN121" s="223">
        <v>4</v>
      </c>
      <c r="AO121" s="223">
        <v>4</v>
      </c>
      <c r="AP121" s="223">
        <v>4</v>
      </c>
      <c r="AQ121" s="223">
        <v>4</v>
      </c>
      <c r="AR121" s="223">
        <v>4</v>
      </c>
      <c r="AS121" s="223">
        <v>4</v>
      </c>
      <c r="AT121" s="223"/>
      <c r="AU121" s="223"/>
      <c r="AV121" s="223"/>
      <c r="AW121" s="223"/>
      <c r="AX121" s="223"/>
      <c r="AY121" s="223"/>
      <c r="AZ121" s="223"/>
      <c r="BA121" s="223"/>
      <c r="BB121" s="223"/>
      <c r="BC121" s="223"/>
      <c r="BD121" s="223"/>
      <c r="BE121" s="223"/>
      <c r="BF121" s="223"/>
      <c r="BG121" s="223"/>
      <c r="BH121" s="223"/>
      <c r="BI121" s="223"/>
      <c r="BJ121" s="223"/>
      <c r="BK121" s="223"/>
      <c r="BL121" s="223"/>
      <c r="BM121" s="223"/>
      <c r="BN121" s="223"/>
      <c r="BO121" s="185"/>
      <c r="BP121" s="185"/>
      <c r="BQ121" s="185"/>
      <c r="BR121" s="185"/>
      <c r="BS121" s="185"/>
    </row>
    <row r="122" spans="2:71" x14ac:dyDescent="0.2">
      <c r="B122" s="174" t="s">
        <v>3535</v>
      </c>
      <c r="C122" s="174">
        <f>C121*12</f>
        <v>1200</v>
      </c>
      <c r="G122" s="185">
        <v>88</v>
      </c>
      <c r="H122" s="223">
        <v>4</v>
      </c>
      <c r="I122" s="223">
        <v>4</v>
      </c>
      <c r="J122" s="223">
        <v>4</v>
      </c>
      <c r="K122" s="223">
        <v>4</v>
      </c>
      <c r="L122" s="223">
        <v>4</v>
      </c>
      <c r="M122" s="223">
        <v>4</v>
      </c>
      <c r="N122" s="223">
        <v>4</v>
      </c>
      <c r="O122" s="223">
        <v>4</v>
      </c>
      <c r="P122" s="223">
        <v>4</v>
      </c>
      <c r="Q122" s="223">
        <v>4</v>
      </c>
      <c r="R122" s="223">
        <v>4</v>
      </c>
      <c r="S122" s="223">
        <v>4</v>
      </c>
      <c r="T122" s="223">
        <v>4</v>
      </c>
      <c r="U122" s="223">
        <v>4</v>
      </c>
      <c r="V122" s="223">
        <v>4</v>
      </c>
      <c r="W122" s="223">
        <v>4</v>
      </c>
      <c r="X122" s="223">
        <v>4</v>
      </c>
      <c r="Y122" s="223">
        <v>4</v>
      </c>
      <c r="Z122" s="223">
        <v>4</v>
      </c>
      <c r="AA122" s="223">
        <v>4</v>
      </c>
      <c r="AB122" s="223">
        <v>4</v>
      </c>
      <c r="AC122" s="223">
        <v>4</v>
      </c>
      <c r="AD122" s="223">
        <v>4</v>
      </c>
      <c r="AE122" s="223">
        <v>4</v>
      </c>
      <c r="AF122" s="223">
        <v>4</v>
      </c>
      <c r="AG122" s="223">
        <v>4</v>
      </c>
      <c r="AH122" s="223">
        <v>4</v>
      </c>
      <c r="AI122" s="223">
        <v>4</v>
      </c>
      <c r="AJ122" s="223">
        <v>4</v>
      </c>
      <c r="AK122" s="223">
        <v>4</v>
      </c>
      <c r="AL122" s="223">
        <v>4</v>
      </c>
      <c r="AM122" s="223">
        <v>4</v>
      </c>
      <c r="AN122" s="223">
        <v>4</v>
      </c>
      <c r="AO122" s="223">
        <v>4</v>
      </c>
      <c r="AP122" s="223">
        <v>4</v>
      </c>
      <c r="AQ122" s="223">
        <v>4</v>
      </c>
      <c r="AR122" s="223">
        <v>4</v>
      </c>
      <c r="AS122" s="223">
        <v>4</v>
      </c>
      <c r="AT122" s="223"/>
      <c r="AU122" s="223"/>
      <c r="AV122" s="223"/>
      <c r="AW122" s="223"/>
      <c r="AX122" s="223"/>
      <c r="AY122" s="223"/>
      <c r="AZ122" s="223"/>
      <c r="BA122" s="223"/>
      <c r="BB122" s="223"/>
      <c r="BC122" s="223"/>
      <c r="BD122" s="223"/>
      <c r="BE122" s="223"/>
      <c r="BF122" s="223"/>
      <c r="BG122" s="223"/>
      <c r="BH122" s="223"/>
      <c r="BI122" s="223"/>
      <c r="BJ122" s="223"/>
      <c r="BK122" s="223"/>
      <c r="BL122" s="223"/>
      <c r="BM122" s="223"/>
      <c r="BN122" s="223"/>
      <c r="BO122" s="185"/>
      <c r="BP122" s="185"/>
      <c r="BQ122" s="185"/>
      <c r="BR122" s="185"/>
      <c r="BS122" s="185"/>
    </row>
    <row r="123" spans="2:71" x14ac:dyDescent="0.2">
      <c r="G123" s="185">
        <v>89</v>
      </c>
      <c r="H123" s="223">
        <v>5</v>
      </c>
      <c r="I123" s="223">
        <v>5</v>
      </c>
      <c r="J123" s="223">
        <v>5</v>
      </c>
      <c r="K123" s="223">
        <v>5</v>
      </c>
      <c r="L123" s="223">
        <v>5</v>
      </c>
      <c r="M123" s="223">
        <v>5</v>
      </c>
      <c r="N123" s="223">
        <v>5</v>
      </c>
      <c r="O123" s="223">
        <v>5</v>
      </c>
      <c r="P123" s="223">
        <v>5</v>
      </c>
      <c r="Q123" s="223">
        <v>5</v>
      </c>
      <c r="R123" s="223">
        <v>5</v>
      </c>
      <c r="S123" s="223">
        <v>5</v>
      </c>
      <c r="T123" s="223">
        <v>5</v>
      </c>
      <c r="U123" s="223">
        <v>5</v>
      </c>
      <c r="V123" s="223">
        <v>5</v>
      </c>
      <c r="W123" s="223">
        <v>5</v>
      </c>
      <c r="X123" s="223">
        <v>5</v>
      </c>
      <c r="Y123" s="223">
        <v>5</v>
      </c>
      <c r="Z123" s="223">
        <v>5</v>
      </c>
      <c r="AA123" s="223">
        <v>5</v>
      </c>
      <c r="AB123" s="223">
        <v>5</v>
      </c>
      <c r="AC123" s="223">
        <v>5</v>
      </c>
      <c r="AD123" s="223">
        <v>5</v>
      </c>
      <c r="AE123" s="223">
        <v>5</v>
      </c>
      <c r="AF123" s="223">
        <v>5</v>
      </c>
      <c r="AG123" s="223">
        <v>5</v>
      </c>
      <c r="AH123" s="223">
        <v>5</v>
      </c>
      <c r="AI123" s="223">
        <v>5</v>
      </c>
      <c r="AJ123" s="223">
        <v>5</v>
      </c>
      <c r="AK123" s="223">
        <v>5</v>
      </c>
      <c r="AL123" s="223">
        <v>5</v>
      </c>
      <c r="AM123" s="223">
        <v>5</v>
      </c>
      <c r="AN123" s="223">
        <v>5</v>
      </c>
      <c r="AO123" s="223">
        <v>5</v>
      </c>
      <c r="AP123" s="223">
        <v>5</v>
      </c>
      <c r="AQ123" s="223">
        <v>5</v>
      </c>
      <c r="AR123" s="223">
        <v>5</v>
      </c>
      <c r="AS123" s="223">
        <v>5</v>
      </c>
      <c r="AT123" s="223"/>
      <c r="AU123" s="223"/>
      <c r="AV123" s="223"/>
      <c r="AW123" s="223"/>
      <c r="AX123" s="223"/>
      <c r="AY123" s="223"/>
      <c r="AZ123" s="223"/>
      <c r="BA123" s="223"/>
      <c r="BB123" s="223"/>
      <c r="BC123" s="223"/>
      <c r="BD123" s="223"/>
      <c r="BE123" s="223"/>
      <c r="BF123" s="223"/>
      <c r="BG123" s="223"/>
      <c r="BH123" s="223"/>
      <c r="BI123" s="223"/>
      <c r="BJ123" s="223"/>
      <c r="BK123" s="223"/>
      <c r="BL123" s="223"/>
      <c r="BM123" s="223"/>
      <c r="BN123" s="223"/>
      <c r="BO123" s="185"/>
      <c r="BP123" s="185"/>
      <c r="BQ123" s="185"/>
      <c r="BR123" s="185"/>
      <c r="BS123" s="185"/>
    </row>
    <row r="124" spans="2:71" x14ac:dyDescent="0.2">
      <c r="G124" s="185">
        <v>90</v>
      </c>
      <c r="H124" s="223">
        <v>5</v>
      </c>
      <c r="I124" s="223">
        <v>5</v>
      </c>
      <c r="J124" s="223">
        <v>5</v>
      </c>
      <c r="K124" s="223">
        <v>5</v>
      </c>
      <c r="L124" s="223">
        <v>5</v>
      </c>
      <c r="M124" s="223">
        <v>5</v>
      </c>
      <c r="N124" s="223">
        <v>5</v>
      </c>
      <c r="O124" s="223">
        <v>5</v>
      </c>
      <c r="P124" s="223">
        <v>5</v>
      </c>
      <c r="Q124" s="223">
        <v>5</v>
      </c>
      <c r="R124" s="223">
        <v>5</v>
      </c>
      <c r="S124" s="223">
        <v>5</v>
      </c>
      <c r="T124" s="223">
        <v>5</v>
      </c>
      <c r="U124" s="223">
        <v>5</v>
      </c>
      <c r="V124" s="223">
        <v>5</v>
      </c>
      <c r="W124" s="223">
        <v>5</v>
      </c>
      <c r="X124" s="223">
        <v>5</v>
      </c>
      <c r="Y124" s="223">
        <v>5</v>
      </c>
      <c r="Z124" s="223">
        <v>5</v>
      </c>
      <c r="AA124" s="223">
        <v>5</v>
      </c>
      <c r="AB124" s="223">
        <v>5</v>
      </c>
      <c r="AC124" s="223">
        <v>5</v>
      </c>
      <c r="AD124" s="223">
        <v>5</v>
      </c>
      <c r="AE124" s="223">
        <v>5</v>
      </c>
      <c r="AF124" s="223">
        <v>5</v>
      </c>
      <c r="AG124" s="223">
        <v>5</v>
      </c>
      <c r="AH124" s="223">
        <v>5</v>
      </c>
      <c r="AI124" s="223">
        <v>5</v>
      </c>
      <c r="AJ124" s="223">
        <v>5</v>
      </c>
      <c r="AK124" s="223">
        <v>5</v>
      </c>
      <c r="AL124" s="223">
        <v>5</v>
      </c>
      <c r="AM124" s="223">
        <v>5</v>
      </c>
      <c r="AN124" s="223">
        <v>5</v>
      </c>
      <c r="AO124" s="223">
        <v>5</v>
      </c>
      <c r="AP124" s="223">
        <v>5</v>
      </c>
      <c r="AQ124" s="223">
        <v>5</v>
      </c>
      <c r="AR124" s="223">
        <v>5</v>
      </c>
      <c r="AS124" s="223">
        <v>5</v>
      </c>
      <c r="AT124" s="223"/>
      <c r="AU124" s="223"/>
      <c r="AV124" s="223"/>
      <c r="AW124" s="223"/>
      <c r="AX124" s="223"/>
      <c r="AY124" s="223"/>
      <c r="AZ124" s="223"/>
      <c r="BA124" s="223"/>
      <c r="BB124" s="223"/>
      <c r="BC124" s="223"/>
      <c r="BD124" s="223"/>
      <c r="BE124" s="223"/>
      <c r="BF124" s="223"/>
      <c r="BG124" s="223"/>
      <c r="BH124" s="223"/>
      <c r="BI124" s="223"/>
      <c r="BJ124" s="223"/>
      <c r="BK124" s="223"/>
      <c r="BL124" s="223"/>
      <c r="BM124" s="223"/>
      <c r="BN124" s="223"/>
      <c r="BO124" s="185"/>
      <c r="BP124" s="185"/>
      <c r="BQ124" s="185"/>
      <c r="BR124" s="185"/>
      <c r="BS124" s="185"/>
    </row>
    <row r="125" spans="2:71" x14ac:dyDescent="0.2">
      <c r="G125" s="185">
        <v>91</v>
      </c>
      <c r="H125" s="223">
        <v>5</v>
      </c>
      <c r="I125" s="223">
        <v>5</v>
      </c>
      <c r="J125" s="223">
        <v>5</v>
      </c>
      <c r="K125" s="223">
        <v>5</v>
      </c>
      <c r="L125" s="223">
        <v>5</v>
      </c>
      <c r="M125" s="223">
        <v>5</v>
      </c>
      <c r="N125" s="223">
        <v>5</v>
      </c>
      <c r="O125" s="223">
        <v>5</v>
      </c>
      <c r="P125" s="223">
        <v>5</v>
      </c>
      <c r="Q125" s="223">
        <v>5</v>
      </c>
      <c r="R125" s="223">
        <v>5</v>
      </c>
      <c r="S125" s="223">
        <v>5</v>
      </c>
      <c r="T125" s="223">
        <v>5</v>
      </c>
      <c r="U125" s="223">
        <v>5</v>
      </c>
      <c r="V125" s="223">
        <v>5</v>
      </c>
      <c r="W125" s="223">
        <v>5</v>
      </c>
      <c r="X125" s="223">
        <v>5</v>
      </c>
      <c r="Y125" s="223">
        <v>5</v>
      </c>
      <c r="Z125" s="223">
        <v>5</v>
      </c>
      <c r="AA125" s="223">
        <v>5</v>
      </c>
      <c r="AB125" s="223">
        <v>5</v>
      </c>
      <c r="AC125" s="223">
        <v>5</v>
      </c>
      <c r="AD125" s="223">
        <v>5</v>
      </c>
      <c r="AE125" s="223">
        <v>5</v>
      </c>
      <c r="AF125" s="223">
        <v>5</v>
      </c>
      <c r="AG125" s="223">
        <v>5</v>
      </c>
      <c r="AH125" s="223">
        <v>5</v>
      </c>
      <c r="AI125" s="223">
        <v>5</v>
      </c>
      <c r="AJ125" s="223">
        <v>5</v>
      </c>
      <c r="AK125" s="223">
        <v>5</v>
      </c>
      <c r="AL125" s="223">
        <v>5</v>
      </c>
      <c r="AM125" s="223">
        <v>5</v>
      </c>
      <c r="AN125" s="223">
        <v>5</v>
      </c>
      <c r="AO125" s="223">
        <v>5</v>
      </c>
      <c r="AP125" s="223">
        <v>5</v>
      </c>
      <c r="AQ125" s="223">
        <v>5</v>
      </c>
      <c r="AR125" s="223">
        <v>5</v>
      </c>
      <c r="AS125" s="223">
        <v>5</v>
      </c>
      <c r="AT125" s="223"/>
      <c r="AU125" s="223"/>
      <c r="AV125" s="223"/>
      <c r="AW125" s="223"/>
      <c r="AX125" s="223"/>
      <c r="AY125" s="223"/>
      <c r="AZ125" s="223"/>
      <c r="BA125" s="223"/>
      <c r="BB125" s="223"/>
      <c r="BC125" s="223"/>
      <c r="BD125" s="223"/>
      <c r="BE125" s="223"/>
      <c r="BF125" s="223"/>
      <c r="BG125" s="223"/>
      <c r="BH125" s="223"/>
      <c r="BI125" s="223"/>
      <c r="BJ125" s="223"/>
      <c r="BK125" s="223"/>
      <c r="BL125" s="223"/>
      <c r="BM125" s="223"/>
      <c r="BN125" s="223"/>
      <c r="BO125" s="185"/>
      <c r="BP125" s="185"/>
      <c r="BQ125" s="185"/>
      <c r="BR125" s="185"/>
      <c r="BS125" s="185"/>
    </row>
    <row r="126" spans="2:71" x14ac:dyDescent="0.2">
      <c r="G126" s="185">
        <v>92</v>
      </c>
      <c r="H126" s="223">
        <v>5</v>
      </c>
      <c r="I126" s="223">
        <v>5</v>
      </c>
      <c r="J126" s="223">
        <v>5</v>
      </c>
      <c r="K126" s="223">
        <v>5</v>
      </c>
      <c r="L126" s="223">
        <v>5</v>
      </c>
      <c r="M126" s="223">
        <v>5</v>
      </c>
      <c r="N126" s="223">
        <v>5</v>
      </c>
      <c r="O126" s="223">
        <v>5</v>
      </c>
      <c r="P126" s="223">
        <v>5</v>
      </c>
      <c r="Q126" s="223">
        <v>5</v>
      </c>
      <c r="R126" s="223">
        <v>5</v>
      </c>
      <c r="S126" s="223">
        <v>5</v>
      </c>
      <c r="T126" s="223">
        <v>5</v>
      </c>
      <c r="U126" s="223">
        <v>5</v>
      </c>
      <c r="V126" s="223">
        <v>5</v>
      </c>
      <c r="W126" s="223">
        <v>5</v>
      </c>
      <c r="X126" s="223">
        <v>5</v>
      </c>
      <c r="Y126" s="223">
        <v>5</v>
      </c>
      <c r="Z126" s="223">
        <v>5</v>
      </c>
      <c r="AA126" s="223">
        <v>5</v>
      </c>
      <c r="AB126" s="223">
        <v>5</v>
      </c>
      <c r="AC126" s="223">
        <v>5</v>
      </c>
      <c r="AD126" s="223">
        <v>5</v>
      </c>
      <c r="AE126" s="223">
        <v>5</v>
      </c>
      <c r="AF126" s="223">
        <v>5</v>
      </c>
      <c r="AG126" s="223">
        <v>5</v>
      </c>
      <c r="AH126" s="223">
        <v>5</v>
      </c>
      <c r="AI126" s="223">
        <v>5</v>
      </c>
      <c r="AJ126" s="223">
        <v>5</v>
      </c>
      <c r="AK126" s="223">
        <v>5</v>
      </c>
      <c r="AL126" s="223">
        <v>5</v>
      </c>
      <c r="AM126" s="223">
        <v>5</v>
      </c>
      <c r="AN126" s="223">
        <v>5</v>
      </c>
      <c r="AO126" s="223">
        <v>5</v>
      </c>
      <c r="AP126" s="223">
        <v>5</v>
      </c>
      <c r="AQ126" s="223">
        <v>5</v>
      </c>
      <c r="AR126" s="223">
        <v>5</v>
      </c>
      <c r="AS126" s="223">
        <v>5</v>
      </c>
      <c r="AT126" s="223"/>
      <c r="AU126" s="223"/>
      <c r="AV126" s="223"/>
      <c r="AW126" s="223"/>
      <c r="AX126" s="223"/>
      <c r="AY126" s="223"/>
      <c r="AZ126" s="223"/>
      <c r="BA126" s="223"/>
      <c r="BB126" s="223"/>
      <c r="BC126" s="223"/>
      <c r="BD126" s="223"/>
      <c r="BE126" s="223"/>
      <c r="BF126" s="223"/>
      <c r="BG126" s="223"/>
      <c r="BH126" s="223"/>
      <c r="BI126" s="223"/>
      <c r="BJ126" s="223"/>
      <c r="BK126" s="223"/>
      <c r="BL126" s="223"/>
      <c r="BM126" s="223"/>
      <c r="BN126" s="223"/>
      <c r="BO126" s="185"/>
      <c r="BP126" s="185"/>
      <c r="BQ126" s="185"/>
      <c r="BR126" s="185"/>
      <c r="BS126" s="185"/>
    </row>
    <row r="127" spans="2:71" x14ac:dyDescent="0.2">
      <c r="G127" s="185">
        <v>93</v>
      </c>
      <c r="H127" s="223">
        <v>6</v>
      </c>
      <c r="I127" s="223">
        <v>6</v>
      </c>
      <c r="J127" s="223">
        <v>6</v>
      </c>
      <c r="K127" s="223">
        <v>6</v>
      </c>
      <c r="L127" s="223">
        <v>6</v>
      </c>
      <c r="M127" s="223">
        <v>6</v>
      </c>
      <c r="N127" s="223">
        <v>6</v>
      </c>
      <c r="O127" s="223">
        <v>6</v>
      </c>
      <c r="P127" s="223">
        <v>6</v>
      </c>
      <c r="Q127" s="223">
        <v>6</v>
      </c>
      <c r="R127" s="223">
        <v>6</v>
      </c>
      <c r="S127" s="223">
        <v>6</v>
      </c>
      <c r="T127" s="223">
        <v>6</v>
      </c>
      <c r="U127" s="223">
        <v>6</v>
      </c>
      <c r="V127" s="223">
        <v>6</v>
      </c>
      <c r="W127" s="223">
        <v>6</v>
      </c>
      <c r="X127" s="223">
        <v>6</v>
      </c>
      <c r="Y127" s="223">
        <v>6</v>
      </c>
      <c r="Z127" s="223">
        <v>6</v>
      </c>
      <c r="AA127" s="223">
        <v>6</v>
      </c>
      <c r="AB127" s="223">
        <v>6</v>
      </c>
      <c r="AC127" s="223">
        <v>6</v>
      </c>
      <c r="AD127" s="223">
        <v>6</v>
      </c>
      <c r="AE127" s="223">
        <v>6</v>
      </c>
      <c r="AF127" s="223">
        <v>6</v>
      </c>
      <c r="AG127" s="223">
        <v>6</v>
      </c>
      <c r="AH127" s="223">
        <v>6</v>
      </c>
      <c r="AI127" s="223">
        <v>6</v>
      </c>
      <c r="AJ127" s="223">
        <v>6</v>
      </c>
      <c r="AK127" s="223">
        <v>6</v>
      </c>
      <c r="AL127" s="223">
        <v>6</v>
      </c>
      <c r="AM127" s="223">
        <v>6</v>
      </c>
      <c r="AN127" s="223">
        <v>6</v>
      </c>
      <c r="AO127" s="223">
        <v>6</v>
      </c>
      <c r="AP127" s="223">
        <v>6</v>
      </c>
      <c r="AQ127" s="223">
        <v>6</v>
      </c>
      <c r="AR127" s="223">
        <v>6</v>
      </c>
      <c r="AS127" s="223">
        <v>6</v>
      </c>
      <c r="AT127" s="223"/>
      <c r="AU127" s="223"/>
      <c r="AV127" s="223"/>
      <c r="AW127" s="223"/>
      <c r="AX127" s="223"/>
      <c r="AY127" s="223"/>
      <c r="AZ127" s="223"/>
      <c r="BA127" s="223"/>
      <c r="BB127" s="223"/>
      <c r="BC127" s="223"/>
      <c r="BD127" s="223"/>
      <c r="BE127" s="223"/>
      <c r="BF127" s="223"/>
      <c r="BG127" s="223"/>
      <c r="BH127" s="223"/>
      <c r="BI127" s="223"/>
      <c r="BJ127" s="223"/>
      <c r="BK127" s="223"/>
      <c r="BL127" s="223"/>
      <c r="BM127" s="223"/>
      <c r="BN127" s="223"/>
      <c r="BO127" s="185"/>
      <c r="BP127" s="185"/>
      <c r="BQ127" s="185"/>
      <c r="BR127" s="185"/>
      <c r="BS127" s="185"/>
    </row>
    <row r="128" spans="2:71" x14ac:dyDescent="0.2">
      <c r="G128" s="185">
        <v>94</v>
      </c>
      <c r="H128" s="223">
        <v>6</v>
      </c>
      <c r="I128" s="223">
        <v>6</v>
      </c>
      <c r="J128" s="223">
        <v>6</v>
      </c>
      <c r="K128" s="223">
        <v>6</v>
      </c>
      <c r="L128" s="223">
        <v>6</v>
      </c>
      <c r="M128" s="223">
        <v>6</v>
      </c>
      <c r="N128" s="223">
        <v>6</v>
      </c>
      <c r="O128" s="223">
        <v>6</v>
      </c>
      <c r="P128" s="223">
        <v>6</v>
      </c>
      <c r="Q128" s="223">
        <v>6</v>
      </c>
      <c r="R128" s="223">
        <v>6</v>
      </c>
      <c r="S128" s="223">
        <v>6</v>
      </c>
      <c r="T128" s="223">
        <v>6</v>
      </c>
      <c r="U128" s="223">
        <v>6</v>
      </c>
      <c r="V128" s="223">
        <v>6</v>
      </c>
      <c r="W128" s="223">
        <v>6</v>
      </c>
      <c r="X128" s="223">
        <v>6</v>
      </c>
      <c r="Y128" s="223">
        <v>6</v>
      </c>
      <c r="Z128" s="223">
        <v>6</v>
      </c>
      <c r="AA128" s="223">
        <v>6</v>
      </c>
      <c r="AB128" s="223">
        <v>6</v>
      </c>
      <c r="AC128" s="223">
        <v>6</v>
      </c>
      <c r="AD128" s="223">
        <v>6</v>
      </c>
      <c r="AE128" s="223">
        <v>6</v>
      </c>
      <c r="AF128" s="223">
        <v>6</v>
      </c>
      <c r="AG128" s="223">
        <v>6</v>
      </c>
      <c r="AH128" s="223">
        <v>6</v>
      </c>
      <c r="AI128" s="223">
        <v>6</v>
      </c>
      <c r="AJ128" s="223">
        <v>6</v>
      </c>
      <c r="AK128" s="223">
        <v>6</v>
      </c>
      <c r="AL128" s="223">
        <v>6</v>
      </c>
      <c r="AM128" s="223">
        <v>6</v>
      </c>
      <c r="AN128" s="223">
        <v>6</v>
      </c>
      <c r="AO128" s="223">
        <v>6</v>
      </c>
      <c r="AP128" s="223">
        <v>6</v>
      </c>
      <c r="AQ128" s="223">
        <v>6</v>
      </c>
      <c r="AR128" s="223">
        <v>6</v>
      </c>
      <c r="AS128" s="223">
        <v>6</v>
      </c>
      <c r="AT128" s="223"/>
      <c r="AU128" s="223"/>
      <c r="AV128" s="223"/>
      <c r="AW128" s="223"/>
      <c r="AX128" s="223"/>
      <c r="AY128" s="223"/>
      <c r="AZ128" s="223"/>
      <c r="BA128" s="223"/>
      <c r="BB128" s="223"/>
      <c r="BC128" s="223"/>
      <c r="BD128" s="223"/>
      <c r="BE128" s="223"/>
      <c r="BF128" s="223"/>
      <c r="BG128" s="223"/>
      <c r="BH128" s="223"/>
      <c r="BI128" s="223"/>
      <c r="BJ128" s="223"/>
      <c r="BK128" s="223"/>
      <c r="BL128" s="223"/>
      <c r="BM128" s="223"/>
      <c r="BN128" s="223"/>
      <c r="BO128" s="185"/>
      <c r="BP128" s="185"/>
      <c r="BQ128" s="185"/>
      <c r="BR128" s="185"/>
      <c r="BS128" s="185"/>
    </row>
    <row r="129" spans="2:71" x14ac:dyDescent="0.2">
      <c r="G129" s="185">
        <v>95</v>
      </c>
      <c r="H129" s="223">
        <v>7</v>
      </c>
      <c r="I129" s="223">
        <v>7</v>
      </c>
      <c r="J129" s="223">
        <v>7</v>
      </c>
      <c r="K129" s="223">
        <v>7</v>
      </c>
      <c r="L129" s="223">
        <v>7</v>
      </c>
      <c r="M129" s="223">
        <v>7</v>
      </c>
      <c r="N129" s="223">
        <v>7</v>
      </c>
      <c r="O129" s="223">
        <v>7</v>
      </c>
      <c r="P129" s="223">
        <v>7</v>
      </c>
      <c r="Q129" s="223">
        <v>7</v>
      </c>
      <c r="R129" s="223">
        <v>7</v>
      </c>
      <c r="S129" s="223">
        <v>7</v>
      </c>
      <c r="T129" s="223">
        <v>7</v>
      </c>
      <c r="U129" s="223">
        <v>7</v>
      </c>
      <c r="V129" s="223">
        <v>7</v>
      </c>
      <c r="W129" s="223">
        <v>7</v>
      </c>
      <c r="X129" s="223">
        <v>7</v>
      </c>
      <c r="Y129" s="223">
        <v>7</v>
      </c>
      <c r="Z129" s="223">
        <v>7</v>
      </c>
      <c r="AA129" s="223">
        <v>7</v>
      </c>
      <c r="AB129" s="223">
        <v>7</v>
      </c>
      <c r="AC129" s="223">
        <v>7</v>
      </c>
      <c r="AD129" s="223">
        <v>7</v>
      </c>
      <c r="AE129" s="223">
        <v>7</v>
      </c>
      <c r="AF129" s="223">
        <v>7</v>
      </c>
      <c r="AG129" s="223">
        <v>7</v>
      </c>
      <c r="AH129" s="223">
        <v>7</v>
      </c>
      <c r="AI129" s="223">
        <v>7</v>
      </c>
      <c r="AJ129" s="223">
        <v>7</v>
      </c>
      <c r="AK129" s="223">
        <v>7</v>
      </c>
      <c r="AL129" s="223">
        <v>7</v>
      </c>
      <c r="AM129" s="223">
        <v>7</v>
      </c>
      <c r="AN129" s="223">
        <v>7</v>
      </c>
      <c r="AO129" s="223">
        <v>7</v>
      </c>
      <c r="AP129" s="223">
        <v>7</v>
      </c>
      <c r="AQ129" s="223">
        <v>7</v>
      </c>
      <c r="AR129" s="223">
        <v>7</v>
      </c>
      <c r="AS129" s="223">
        <v>7</v>
      </c>
      <c r="AT129" s="223"/>
      <c r="AU129" s="223"/>
      <c r="AV129" s="223"/>
      <c r="AW129" s="223"/>
      <c r="AX129" s="223"/>
      <c r="AY129" s="223"/>
      <c r="AZ129" s="223"/>
      <c r="BA129" s="223"/>
      <c r="BB129" s="223"/>
      <c r="BC129" s="223"/>
      <c r="BD129" s="223"/>
      <c r="BE129" s="223"/>
      <c r="BF129" s="223"/>
      <c r="BG129" s="223"/>
      <c r="BH129" s="223"/>
      <c r="BI129" s="223"/>
      <c r="BJ129" s="223"/>
      <c r="BK129" s="223"/>
      <c r="BL129" s="223"/>
      <c r="BM129" s="223"/>
      <c r="BN129" s="223"/>
      <c r="BO129" s="185"/>
      <c r="BP129" s="185"/>
      <c r="BQ129" s="185"/>
      <c r="BR129" s="185"/>
      <c r="BS129" s="185"/>
    </row>
    <row r="130" spans="2:71" x14ac:dyDescent="0.2">
      <c r="G130" s="185">
        <v>96</v>
      </c>
      <c r="H130" s="223">
        <v>7</v>
      </c>
      <c r="I130" s="223">
        <v>7</v>
      </c>
      <c r="J130" s="223">
        <v>7</v>
      </c>
      <c r="K130" s="223">
        <v>7</v>
      </c>
      <c r="L130" s="223">
        <v>7</v>
      </c>
      <c r="M130" s="223">
        <v>7</v>
      </c>
      <c r="N130" s="223">
        <v>7</v>
      </c>
      <c r="O130" s="223">
        <v>7</v>
      </c>
      <c r="P130" s="223">
        <v>7</v>
      </c>
      <c r="Q130" s="223">
        <v>7</v>
      </c>
      <c r="R130" s="223">
        <v>7</v>
      </c>
      <c r="S130" s="223">
        <v>7</v>
      </c>
      <c r="T130" s="223">
        <v>7</v>
      </c>
      <c r="U130" s="223">
        <v>7</v>
      </c>
      <c r="V130" s="223">
        <v>7</v>
      </c>
      <c r="W130" s="223">
        <v>7</v>
      </c>
      <c r="X130" s="223">
        <v>7</v>
      </c>
      <c r="Y130" s="223">
        <v>7</v>
      </c>
      <c r="Z130" s="223">
        <v>7</v>
      </c>
      <c r="AA130" s="223">
        <v>7</v>
      </c>
      <c r="AB130" s="223">
        <v>7</v>
      </c>
      <c r="AC130" s="223">
        <v>7</v>
      </c>
      <c r="AD130" s="223">
        <v>7</v>
      </c>
      <c r="AE130" s="223">
        <v>7</v>
      </c>
      <c r="AF130" s="223">
        <v>7</v>
      </c>
      <c r="AG130" s="223">
        <v>7</v>
      </c>
      <c r="AH130" s="223">
        <v>7</v>
      </c>
      <c r="AI130" s="223">
        <v>7</v>
      </c>
      <c r="AJ130" s="223">
        <v>7</v>
      </c>
      <c r="AK130" s="223">
        <v>7</v>
      </c>
      <c r="AL130" s="223">
        <v>7</v>
      </c>
      <c r="AM130" s="223">
        <v>7</v>
      </c>
      <c r="AN130" s="223">
        <v>7</v>
      </c>
      <c r="AO130" s="223">
        <v>7</v>
      </c>
      <c r="AP130" s="223">
        <v>7</v>
      </c>
      <c r="AQ130" s="223">
        <v>7</v>
      </c>
      <c r="AR130" s="223">
        <v>7</v>
      </c>
      <c r="AS130" s="223">
        <v>7</v>
      </c>
      <c r="AT130" s="223"/>
      <c r="AU130" s="223"/>
      <c r="AV130" s="223"/>
      <c r="AW130" s="223"/>
      <c r="AX130" s="223"/>
      <c r="AY130" s="223"/>
      <c r="AZ130" s="223"/>
      <c r="BA130" s="223"/>
      <c r="BB130" s="223"/>
      <c r="BC130" s="223"/>
      <c r="BD130" s="223"/>
      <c r="BE130" s="223"/>
      <c r="BF130" s="223"/>
      <c r="BG130" s="223"/>
      <c r="BH130" s="223"/>
      <c r="BI130" s="223"/>
      <c r="BJ130" s="223"/>
      <c r="BK130" s="223"/>
      <c r="BL130" s="223"/>
      <c r="BM130" s="223"/>
      <c r="BN130" s="223"/>
      <c r="BO130" s="185"/>
      <c r="BP130" s="185"/>
      <c r="BQ130" s="185"/>
      <c r="BR130" s="185"/>
      <c r="BS130" s="185"/>
    </row>
    <row r="131" spans="2:71" x14ac:dyDescent="0.2">
      <c r="G131" s="185">
        <v>97</v>
      </c>
      <c r="H131" s="223">
        <v>8</v>
      </c>
      <c r="I131" s="223">
        <v>8</v>
      </c>
      <c r="J131" s="223">
        <v>8</v>
      </c>
      <c r="K131" s="223">
        <v>8</v>
      </c>
      <c r="L131" s="223">
        <v>8</v>
      </c>
      <c r="M131" s="223">
        <v>8</v>
      </c>
      <c r="N131" s="223">
        <v>8</v>
      </c>
      <c r="O131" s="223">
        <v>8</v>
      </c>
      <c r="P131" s="223">
        <v>8</v>
      </c>
      <c r="Q131" s="223">
        <v>8</v>
      </c>
      <c r="R131" s="223">
        <v>8</v>
      </c>
      <c r="S131" s="223">
        <v>8</v>
      </c>
      <c r="T131" s="223">
        <v>8</v>
      </c>
      <c r="U131" s="223">
        <v>8</v>
      </c>
      <c r="V131" s="223">
        <v>8</v>
      </c>
      <c r="W131" s="223">
        <v>8</v>
      </c>
      <c r="X131" s="223">
        <v>8</v>
      </c>
      <c r="Y131" s="223">
        <v>8</v>
      </c>
      <c r="Z131" s="223">
        <v>8</v>
      </c>
      <c r="AA131" s="223">
        <v>8</v>
      </c>
      <c r="AB131" s="223">
        <v>8</v>
      </c>
      <c r="AC131" s="223">
        <v>8</v>
      </c>
      <c r="AD131" s="223">
        <v>8</v>
      </c>
      <c r="AE131" s="223">
        <v>8</v>
      </c>
      <c r="AF131" s="223">
        <v>8</v>
      </c>
      <c r="AG131" s="223">
        <v>8</v>
      </c>
      <c r="AH131" s="223">
        <v>8</v>
      </c>
      <c r="AI131" s="223">
        <v>8</v>
      </c>
      <c r="AJ131" s="223">
        <v>8</v>
      </c>
      <c r="AK131" s="223">
        <v>8</v>
      </c>
      <c r="AL131" s="223">
        <v>8</v>
      </c>
      <c r="AM131" s="223">
        <v>8</v>
      </c>
      <c r="AN131" s="223">
        <v>8</v>
      </c>
      <c r="AO131" s="223">
        <v>8</v>
      </c>
      <c r="AP131" s="223">
        <v>8</v>
      </c>
      <c r="AQ131" s="223">
        <v>8</v>
      </c>
      <c r="AR131" s="223">
        <v>8</v>
      </c>
      <c r="AS131" s="223">
        <v>8</v>
      </c>
      <c r="AT131" s="223"/>
      <c r="AU131" s="223"/>
      <c r="AV131" s="223"/>
      <c r="AW131" s="223"/>
      <c r="AX131" s="223"/>
      <c r="AY131" s="223"/>
      <c r="AZ131" s="223"/>
      <c r="BA131" s="223"/>
      <c r="BB131" s="223"/>
      <c r="BC131" s="223"/>
      <c r="BD131" s="223"/>
      <c r="BE131" s="223"/>
      <c r="BF131" s="223"/>
      <c r="BG131" s="223"/>
      <c r="BH131" s="223"/>
      <c r="BI131" s="223"/>
      <c r="BJ131" s="223"/>
      <c r="BK131" s="223"/>
      <c r="BL131" s="223"/>
      <c r="BM131" s="223"/>
      <c r="BN131" s="223"/>
      <c r="BO131" s="185"/>
      <c r="BP131" s="185"/>
      <c r="BQ131" s="185"/>
      <c r="BR131" s="185"/>
      <c r="BS131" s="185"/>
    </row>
    <row r="132" spans="2:71" x14ac:dyDescent="0.2">
      <c r="G132" s="185">
        <v>98</v>
      </c>
      <c r="H132" s="223">
        <v>8</v>
      </c>
      <c r="I132" s="223">
        <v>8</v>
      </c>
      <c r="J132" s="223">
        <v>8</v>
      </c>
      <c r="K132" s="223">
        <v>8</v>
      </c>
      <c r="L132" s="223">
        <v>8</v>
      </c>
      <c r="M132" s="223">
        <v>8</v>
      </c>
      <c r="N132" s="223">
        <v>8</v>
      </c>
      <c r="O132" s="223">
        <v>8</v>
      </c>
      <c r="P132" s="223">
        <v>8</v>
      </c>
      <c r="Q132" s="223">
        <v>8</v>
      </c>
      <c r="R132" s="223">
        <v>8</v>
      </c>
      <c r="S132" s="223">
        <v>8</v>
      </c>
      <c r="T132" s="223">
        <v>8</v>
      </c>
      <c r="U132" s="223">
        <v>8</v>
      </c>
      <c r="V132" s="223">
        <v>8</v>
      </c>
      <c r="W132" s="223">
        <v>8</v>
      </c>
      <c r="X132" s="223">
        <v>8</v>
      </c>
      <c r="Y132" s="223">
        <v>8</v>
      </c>
      <c r="Z132" s="223">
        <v>8</v>
      </c>
      <c r="AA132" s="223">
        <v>8</v>
      </c>
      <c r="AB132" s="223">
        <v>8</v>
      </c>
      <c r="AC132" s="223">
        <v>8</v>
      </c>
      <c r="AD132" s="223">
        <v>8</v>
      </c>
      <c r="AE132" s="223">
        <v>8</v>
      </c>
      <c r="AF132" s="223">
        <v>8</v>
      </c>
      <c r="AG132" s="223">
        <v>8</v>
      </c>
      <c r="AH132" s="223">
        <v>8</v>
      </c>
      <c r="AI132" s="223">
        <v>8</v>
      </c>
      <c r="AJ132" s="223">
        <v>8</v>
      </c>
      <c r="AK132" s="223">
        <v>8</v>
      </c>
      <c r="AL132" s="223">
        <v>8</v>
      </c>
      <c r="AM132" s="223">
        <v>8</v>
      </c>
      <c r="AN132" s="223">
        <v>8</v>
      </c>
      <c r="AO132" s="223">
        <v>8</v>
      </c>
      <c r="AP132" s="223">
        <v>8</v>
      </c>
      <c r="AQ132" s="223">
        <v>8</v>
      </c>
      <c r="AR132" s="223">
        <v>8</v>
      </c>
      <c r="AS132" s="223">
        <v>8</v>
      </c>
      <c r="AT132" s="223"/>
      <c r="AU132" s="223"/>
      <c r="AV132" s="223"/>
      <c r="AW132" s="223"/>
      <c r="AX132" s="223"/>
      <c r="AY132" s="223"/>
      <c r="AZ132" s="223"/>
      <c r="BA132" s="223"/>
      <c r="BB132" s="223"/>
      <c r="BC132" s="223"/>
      <c r="BD132" s="223"/>
      <c r="BE132" s="223"/>
      <c r="BF132" s="223"/>
      <c r="BG132" s="223"/>
      <c r="BH132" s="223"/>
      <c r="BI132" s="223"/>
      <c r="BJ132" s="223"/>
      <c r="BK132" s="223"/>
      <c r="BL132" s="223"/>
      <c r="BM132" s="223"/>
      <c r="BN132" s="223"/>
      <c r="BO132" s="185"/>
      <c r="BP132" s="185"/>
      <c r="BQ132" s="185"/>
      <c r="BR132" s="185"/>
      <c r="BS132" s="185"/>
    </row>
    <row r="133" spans="2:71" x14ac:dyDescent="0.2">
      <c r="G133" s="185">
        <v>99</v>
      </c>
      <c r="H133" s="223">
        <v>9</v>
      </c>
      <c r="I133" s="223">
        <v>9</v>
      </c>
      <c r="J133" s="223">
        <v>9</v>
      </c>
      <c r="K133" s="223">
        <v>9</v>
      </c>
      <c r="L133" s="223">
        <v>9</v>
      </c>
      <c r="M133" s="223">
        <v>9</v>
      </c>
      <c r="N133" s="223">
        <v>9</v>
      </c>
      <c r="O133" s="223">
        <v>9</v>
      </c>
      <c r="P133" s="223">
        <v>9</v>
      </c>
      <c r="Q133" s="223">
        <v>9</v>
      </c>
      <c r="R133" s="223">
        <v>9</v>
      </c>
      <c r="S133" s="223">
        <v>9</v>
      </c>
      <c r="T133" s="223">
        <v>9</v>
      </c>
      <c r="U133" s="223">
        <v>9</v>
      </c>
      <c r="V133" s="223">
        <v>9</v>
      </c>
      <c r="W133" s="223">
        <v>9</v>
      </c>
      <c r="X133" s="223">
        <v>9</v>
      </c>
      <c r="Y133" s="223">
        <v>9</v>
      </c>
      <c r="Z133" s="223">
        <v>9</v>
      </c>
      <c r="AA133" s="223">
        <v>9</v>
      </c>
      <c r="AB133" s="223">
        <v>9</v>
      </c>
      <c r="AC133" s="223">
        <v>9</v>
      </c>
      <c r="AD133" s="223">
        <v>9</v>
      </c>
      <c r="AE133" s="223">
        <v>9</v>
      </c>
      <c r="AF133" s="223">
        <v>9</v>
      </c>
      <c r="AG133" s="223">
        <v>9</v>
      </c>
      <c r="AH133" s="223">
        <v>9</v>
      </c>
      <c r="AI133" s="223">
        <v>9</v>
      </c>
      <c r="AJ133" s="223">
        <v>9</v>
      </c>
      <c r="AK133" s="223">
        <v>9</v>
      </c>
      <c r="AL133" s="223">
        <v>9</v>
      </c>
      <c r="AM133" s="223">
        <v>9</v>
      </c>
      <c r="AN133" s="223">
        <v>9</v>
      </c>
      <c r="AO133" s="223">
        <v>9</v>
      </c>
      <c r="AP133" s="223">
        <v>9</v>
      </c>
      <c r="AQ133" s="223">
        <v>9</v>
      </c>
      <c r="AR133" s="223">
        <v>9</v>
      </c>
      <c r="AS133" s="223">
        <v>9</v>
      </c>
      <c r="AT133" s="223"/>
      <c r="AU133" s="223"/>
      <c r="AV133" s="223"/>
      <c r="AW133" s="223"/>
      <c r="AX133" s="223"/>
      <c r="AY133" s="223"/>
      <c r="AZ133" s="223"/>
      <c r="BA133" s="223"/>
      <c r="BB133" s="223"/>
      <c r="BC133" s="223"/>
      <c r="BD133" s="223"/>
      <c r="BE133" s="223"/>
      <c r="BF133" s="223"/>
      <c r="BG133" s="223"/>
      <c r="BH133" s="223"/>
      <c r="BI133" s="223"/>
      <c r="BJ133" s="223"/>
      <c r="BK133" s="223"/>
      <c r="BL133" s="223"/>
      <c r="BM133" s="223"/>
      <c r="BN133" s="223"/>
      <c r="BO133" s="185"/>
      <c r="BP133" s="185"/>
      <c r="BQ133" s="185"/>
      <c r="BR133" s="185"/>
      <c r="BS133" s="185"/>
    </row>
    <row r="134" spans="2:71" x14ac:dyDescent="0.2">
      <c r="G134" s="185">
        <v>100</v>
      </c>
      <c r="H134" s="223">
        <f>H35*-1</f>
        <v>10</v>
      </c>
      <c r="I134" s="223">
        <f t="shared" ref="I134:AQ134" si="63">I35*-1</f>
        <v>10</v>
      </c>
      <c r="J134" s="223">
        <f t="shared" si="63"/>
        <v>10</v>
      </c>
      <c r="K134" s="223">
        <f t="shared" si="63"/>
        <v>10</v>
      </c>
      <c r="L134" s="223">
        <f t="shared" si="63"/>
        <v>10</v>
      </c>
      <c r="M134" s="223">
        <f t="shared" si="63"/>
        <v>10</v>
      </c>
      <c r="N134" s="223">
        <f t="shared" si="63"/>
        <v>10</v>
      </c>
      <c r="O134" s="223">
        <f t="shared" si="63"/>
        <v>10</v>
      </c>
      <c r="P134" s="223">
        <f t="shared" si="63"/>
        <v>10</v>
      </c>
      <c r="Q134" s="223">
        <f t="shared" si="63"/>
        <v>10</v>
      </c>
      <c r="R134" s="223">
        <f t="shared" si="63"/>
        <v>10</v>
      </c>
      <c r="S134" s="223">
        <f t="shared" si="63"/>
        <v>10</v>
      </c>
      <c r="T134" s="223">
        <f t="shared" si="63"/>
        <v>10</v>
      </c>
      <c r="U134" s="223">
        <f t="shared" si="63"/>
        <v>10</v>
      </c>
      <c r="V134" s="223">
        <f t="shared" si="63"/>
        <v>10</v>
      </c>
      <c r="W134" s="223">
        <f t="shared" si="63"/>
        <v>10</v>
      </c>
      <c r="X134" s="223">
        <f t="shared" si="63"/>
        <v>10</v>
      </c>
      <c r="Y134" s="223">
        <f t="shared" si="63"/>
        <v>10</v>
      </c>
      <c r="Z134" s="223">
        <f t="shared" si="63"/>
        <v>10</v>
      </c>
      <c r="AA134" s="223">
        <f t="shared" si="63"/>
        <v>10</v>
      </c>
      <c r="AB134" s="223">
        <f t="shared" si="63"/>
        <v>10</v>
      </c>
      <c r="AC134" s="223">
        <f t="shared" si="63"/>
        <v>10</v>
      </c>
      <c r="AD134" s="223">
        <f t="shared" si="63"/>
        <v>10</v>
      </c>
      <c r="AE134" s="223">
        <f t="shared" si="63"/>
        <v>10</v>
      </c>
      <c r="AF134" s="223">
        <f t="shared" si="63"/>
        <v>10</v>
      </c>
      <c r="AG134" s="223">
        <f t="shared" si="63"/>
        <v>10</v>
      </c>
      <c r="AH134" s="223">
        <f t="shared" si="63"/>
        <v>10</v>
      </c>
      <c r="AI134" s="223">
        <f t="shared" si="63"/>
        <v>10</v>
      </c>
      <c r="AJ134" s="223">
        <f t="shared" si="63"/>
        <v>10</v>
      </c>
      <c r="AK134" s="223">
        <f t="shared" si="63"/>
        <v>10</v>
      </c>
      <c r="AL134" s="223">
        <f t="shared" si="63"/>
        <v>10</v>
      </c>
      <c r="AM134" s="223">
        <f t="shared" si="63"/>
        <v>10</v>
      </c>
      <c r="AN134" s="223">
        <f t="shared" si="63"/>
        <v>10</v>
      </c>
      <c r="AO134" s="223">
        <f t="shared" si="63"/>
        <v>10</v>
      </c>
      <c r="AP134" s="223">
        <f t="shared" si="63"/>
        <v>10</v>
      </c>
      <c r="AQ134" s="223">
        <f t="shared" si="63"/>
        <v>10</v>
      </c>
      <c r="AR134" s="223">
        <f>AR35*-1</f>
        <v>10</v>
      </c>
      <c r="AS134" s="223">
        <f t="shared" ref="AS134" si="64">AS35*-1</f>
        <v>10</v>
      </c>
      <c r="AT134" s="223"/>
      <c r="AU134" s="223"/>
      <c r="AV134" s="223"/>
      <c r="AW134" s="223"/>
      <c r="AX134" s="223"/>
      <c r="AY134" s="223"/>
      <c r="AZ134" s="223"/>
      <c r="BA134" s="223"/>
      <c r="BB134" s="223"/>
      <c r="BC134" s="223"/>
      <c r="BD134" s="223"/>
      <c r="BE134" s="223"/>
      <c r="BF134" s="223"/>
      <c r="BG134" s="223"/>
      <c r="BH134" s="223"/>
      <c r="BI134" s="223"/>
      <c r="BJ134" s="223"/>
      <c r="BK134" s="223"/>
      <c r="BL134" s="223"/>
      <c r="BM134" s="223"/>
      <c r="BN134" s="223"/>
      <c r="BO134" s="185"/>
      <c r="BP134" s="185"/>
      <c r="BQ134" s="185"/>
      <c r="BR134" s="185"/>
      <c r="BS134" s="185"/>
    </row>
    <row r="139" spans="2:71" x14ac:dyDescent="0.2">
      <c r="G139" s="185">
        <v>1</v>
      </c>
      <c r="H139" s="185">
        <v>2</v>
      </c>
      <c r="I139" s="223">
        <v>3</v>
      </c>
      <c r="J139" s="185">
        <v>4</v>
      </c>
      <c r="K139" s="223">
        <v>5</v>
      </c>
      <c r="L139" s="185">
        <v>6</v>
      </c>
      <c r="M139" s="223">
        <v>7</v>
      </c>
      <c r="N139" s="185">
        <v>8</v>
      </c>
      <c r="O139" s="223">
        <v>9</v>
      </c>
      <c r="P139" s="185">
        <v>10</v>
      </c>
      <c r="Q139" s="223">
        <v>11</v>
      </c>
      <c r="R139" s="185">
        <v>12</v>
      </c>
      <c r="S139" s="223">
        <v>13</v>
      </c>
      <c r="T139" s="185">
        <v>14</v>
      </c>
      <c r="U139" s="223">
        <v>15</v>
      </c>
      <c r="V139" s="185">
        <v>16</v>
      </c>
      <c r="W139" s="223">
        <v>17</v>
      </c>
      <c r="X139" s="185">
        <v>18</v>
      </c>
      <c r="Y139" s="174">
        <v>19</v>
      </c>
      <c r="Z139" s="174">
        <v>20</v>
      </c>
      <c r="AA139" s="174">
        <v>21</v>
      </c>
      <c r="AB139" s="174">
        <v>22</v>
      </c>
      <c r="AC139" s="174">
        <v>22</v>
      </c>
      <c r="AD139" s="174">
        <v>22</v>
      </c>
      <c r="AE139" s="174">
        <v>22</v>
      </c>
      <c r="AF139" s="174">
        <v>22</v>
      </c>
      <c r="AG139" s="174">
        <v>22</v>
      </c>
      <c r="AH139" s="174">
        <v>22</v>
      </c>
      <c r="AI139" s="174">
        <v>22</v>
      </c>
      <c r="AJ139" s="174">
        <v>22</v>
      </c>
      <c r="AK139" s="174">
        <v>22</v>
      </c>
      <c r="AL139" s="174">
        <v>22</v>
      </c>
      <c r="AM139" s="174">
        <v>22</v>
      </c>
      <c r="AN139" s="174">
        <v>22</v>
      </c>
      <c r="AO139" s="174">
        <v>22</v>
      </c>
      <c r="AP139" s="174">
        <v>22</v>
      </c>
      <c r="AQ139" s="174">
        <v>22</v>
      </c>
      <c r="AR139" s="174">
        <v>22</v>
      </c>
      <c r="AS139" s="174">
        <v>22</v>
      </c>
    </row>
    <row r="140" spans="2:71" x14ac:dyDescent="0.2">
      <c r="C140" s="174" t="s">
        <v>3534</v>
      </c>
      <c r="D140" s="174" t="s">
        <v>3535</v>
      </c>
      <c r="H140" s="268" t="s">
        <v>4181</v>
      </c>
      <c r="I140" s="268" t="s">
        <v>4381</v>
      </c>
      <c r="J140" s="268" t="s">
        <v>4197</v>
      </c>
      <c r="K140" s="268" t="s">
        <v>4187</v>
      </c>
      <c r="L140" s="268" t="s">
        <v>4188</v>
      </c>
      <c r="M140" s="268" t="s">
        <v>913</v>
      </c>
      <c r="N140" s="268" t="s">
        <v>4195</v>
      </c>
      <c r="O140" s="268" t="s">
        <v>4183</v>
      </c>
      <c r="P140" s="268" t="s">
        <v>4193</v>
      </c>
      <c r="Q140" s="268" t="s">
        <v>977</v>
      </c>
      <c r="R140" s="268" t="s">
        <v>976</v>
      </c>
      <c r="S140" s="268" t="s">
        <v>4198</v>
      </c>
      <c r="T140" s="268" t="s">
        <v>4349</v>
      </c>
      <c r="U140" s="268" t="s">
        <v>4361</v>
      </c>
      <c r="V140" s="268" t="s">
        <v>4360</v>
      </c>
      <c r="W140" s="268" t="s">
        <v>4199</v>
      </c>
      <c r="X140" s="268" t="s">
        <v>899</v>
      </c>
      <c r="Y140" s="268" t="s">
        <v>1058</v>
      </c>
      <c r="Z140" s="268" t="s">
        <v>4200</v>
      </c>
      <c r="AA140" s="268" t="s">
        <v>4359</v>
      </c>
      <c r="AB140" s="268" t="s">
        <v>4189</v>
      </c>
      <c r="AC140" s="268" t="s">
        <v>4388</v>
      </c>
      <c r="AD140" s="268" t="s">
        <v>4393</v>
      </c>
      <c r="AE140" s="268" t="s">
        <v>4172</v>
      </c>
      <c r="AF140" s="268" t="s">
        <v>4364</v>
      </c>
      <c r="AG140" s="268" t="s">
        <v>4190</v>
      </c>
      <c r="AH140" s="268" t="s">
        <v>4201</v>
      </c>
      <c r="AI140" s="268" t="s">
        <v>4191</v>
      </c>
      <c r="AJ140" s="268" t="s">
        <v>4185</v>
      </c>
      <c r="AK140" s="268" t="s">
        <v>4202</v>
      </c>
      <c r="AL140" s="268" t="s">
        <v>4371</v>
      </c>
      <c r="AM140" s="268" t="s">
        <v>4171</v>
      </c>
      <c r="AN140" s="268" t="s">
        <v>4192</v>
      </c>
      <c r="AO140" s="268" t="s">
        <v>4203</v>
      </c>
      <c r="AP140" s="268" t="s">
        <v>4377</v>
      </c>
      <c r="AQ140" s="268" t="s">
        <v>4204</v>
      </c>
      <c r="AR140" s="268" t="s">
        <v>4180</v>
      </c>
      <c r="AS140" s="268" t="s">
        <v>4173</v>
      </c>
    </row>
    <row r="141" spans="2:71" x14ac:dyDescent="0.2">
      <c r="B141" s="174" t="s">
        <v>4174</v>
      </c>
      <c r="C141" s="174">
        <v>6</v>
      </c>
      <c r="D141" s="174">
        <v>2</v>
      </c>
      <c r="G141" s="174" t="s">
        <v>3548</v>
      </c>
      <c r="H141" s="174">
        <f t="shared" ref="H141:O142" si="65">(H154+H156)/2</f>
        <v>5.5</v>
      </c>
      <c r="I141" s="174">
        <f t="shared" si="65"/>
        <v>5</v>
      </c>
      <c r="J141" s="174">
        <f t="shared" si="65"/>
        <v>5</v>
      </c>
      <c r="K141" s="174">
        <f t="shared" si="65"/>
        <v>5</v>
      </c>
      <c r="L141" s="174">
        <f t="shared" si="65"/>
        <v>5.5</v>
      </c>
      <c r="M141" s="174">
        <f t="shared" si="65"/>
        <v>6</v>
      </c>
      <c r="N141" s="174">
        <f t="shared" si="65"/>
        <v>5</v>
      </c>
      <c r="O141" s="174">
        <f t="shared" si="65"/>
        <v>3</v>
      </c>
      <c r="P141" s="174">
        <f>(P154+P156)/2</f>
        <v>6</v>
      </c>
      <c r="Q141" s="174">
        <f t="shared" ref="Q141:AS142" si="66">(Q154+Q156)/2</f>
        <v>4.5</v>
      </c>
      <c r="R141" s="174">
        <f t="shared" si="66"/>
        <v>4.5</v>
      </c>
      <c r="S141" s="174">
        <f t="shared" si="66"/>
        <v>5</v>
      </c>
      <c r="T141" s="174">
        <f t="shared" si="66"/>
        <v>2</v>
      </c>
      <c r="U141" s="174">
        <f t="shared" si="66"/>
        <v>2.5</v>
      </c>
      <c r="V141" s="174">
        <f t="shared" si="66"/>
        <v>4</v>
      </c>
      <c r="W141" s="174">
        <f t="shared" si="66"/>
        <v>5</v>
      </c>
      <c r="X141" s="174">
        <f t="shared" si="66"/>
        <v>5.5</v>
      </c>
      <c r="Y141" s="174">
        <f t="shared" si="66"/>
        <v>5.5</v>
      </c>
      <c r="Z141" s="174">
        <f t="shared" si="66"/>
        <v>5</v>
      </c>
      <c r="AA141" s="174">
        <f t="shared" si="66"/>
        <v>3.5</v>
      </c>
      <c r="AB141" s="174">
        <f t="shared" si="66"/>
        <v>5.5</v>
      </c>
      <c r="AC141" s="174">
        <f t="shared" si="66"/>
        <v>5.5</v>
      </c>
      <c r="AD141" s="174">
        <f t="shared" si="66"/>
        <v>2.5</v>
      </c>
      <c r="AE141" s="174">
        <f t="shared" si="66"/>
        <v>5.5</v>
      </c>
      <c r="AF141" s="174">
        <f t="shared" si="66"/>
        <v>4</v>
      </c>
      <c r="AG141" s="174">
        <f t="shared" si="66"/>
        <v>5</v>
      </c>
      <c r="AH141" s="174">
        <f t="shared" si="66"/>
        <v>5.5</v>
      </c>
      <c r="AI141" s="174">
        <f t="shared" si="66"/>
        <v>5</v>
      </c>
      <c r="AJ141" s="174">
        <f t="shared" si="66"/>
        <v>3</v>
      </c>
      <c r="AK141" s="174">
        <f t="shared" si="66"/>
        <v>5</v>
      </c>
      <c r="AL141" s="174">
        <f t="shared" si="66"/>
        <v>2.5</v>
      </c>
      <c r="AM141" s="174">
        <f t="shared" si="66"/>
        <v>5.5</v>
      </c>
      <c r="AN141" s="174">
        <f t="shared" si="66"/>
        <v>5</v>
      </c>
      <c r="AO141" s="174">
        <f t="shared" si="66"/>
        <v>5</v>
      </c>
      <c r="AP141" s="174">
        <f t="shared" si="66"/>
        <v>4.5</v>
      </c>
      <c r="AQ141" s="174">
        <f t="shared" si="66"/>
        <v>5</v>
      </c>
      <c r="AR141" s="174">
        <f t="shared" si="66"/>
        <v>5.5</v>
      </c>
      <c r="AS141" s="174">
        <f t="shared" si="66"/>
        <v>5.5</v>
      </c>
    </row>
    <row r="142" spans="2:71" x14ac:dyDescent="0.2">
      <c r="B142" s="174" t="s">
        <v>4175</v>
      </c>
      <c r="C142" s="174">
        <v>6</v>
      </c>
      <c r="D142" s="174">
        <v>8</v>
      </c>
      <c r="G142" s="174" t="s">
        <v>3549</v>
      </c>
      <c r="H142" s="174">
        <f t="shared" si="65"/>
        <v>3</v>
      </c>
      <c r="I142" s="174">
        <f t="shared" si="65"/>
        <v>6</v>
      </c>
      <c r="J142" s="174">
        <f t="shared" si="65"/>
        <v>8</v>
      </c>
      <c r="K142" s="174">
        <f t="shared" si="65"/>
        <v>7</v>
      </c>
      <c r="L142" s="174">
        <f t="shared" si="65"/>
        <v>3</v>
      </c>
      <c r="M142" s="174">
        <f t="shared" si="65"/>
        <v>2.5</v>
      </c>
      <c r="N142" s="174">
        <f t="shared" si="65"/>
        <v>8</v>
      </c>
      <c r="O142" s="174">
        <f t="shared" si="65"/>
        <v>3</v>
      </c>
      <c r="P142" s="174">
        <f>(P155+P157)/2</f>
        <v>5</v>
      </c>
      <c r="Q142" s="174">
        <f t="shared" si="66"/>
        <v>6</v>
      </c>
      <c r="R142" s="174">
        <f t="shared" si="66"/>
        <v>6</v>
      </c>
      <c r="S142" s="174">
        <f t="shared" si="66"/>
        <v>10</v>
      </c>
      <c r="T142" s="174">
        <f t="shared" si="66"/>
        <v>5.5</v>
      </c>
      <c r="U142" s="174">
        <f t="shared" si="66"/>
        <v>8</v>
      </c>
      <c r="V142" s="174">
        <f t="shared" si="66"/>
        <v>5</v>
      </c>
      <c r="W142" s="174">
        <f t="shared" si="66"/>
        <v>6</v>
      </c>
      <c r="X142" s="174">
        <f t="shared" si="66"/>
        <v>3.5</v>
      </c>
      <c r="Y142" s="174">
        <f t="shared" si="66"/>
        <v>6.5</v>
      </c>
      <c r="Z142" s="174">
        <f t="shared" si="66"/>
        <v>8</v>
      </c>
      <c r="AA142" s="174">
        <f t="shared" si="66"/>
        <v>8</v>
      </c>
      <c r="AB142" s="174">
        <f t="shared" si="66"/>
        <v>4</v>
      </c>
      <c r="AC142" s="174">
        <f t="shared" si="66"/>
        <v>4.5</v>
      </c>
      <c r="AD142" s="174">
        <f t="shared" si="66"/>
        <v>7</v>
      </c>
      <c r="AE142" s="174">
        <f t="shared" si="66"/>
        <v>3</v>
      </c>
      <c r="AF142" s="174">
        <f t="shared" si="66"/>
        <v>7</v>
      </c>
      <c r="AG142" s="174">
        <f t="shared" si="66"/>
        <v>9</v>
      </c>
      <c r="AH142" s="174">
        <f t="shared" si="66"/>
        <v>1</v>
      </c>
      <c r="AI142" s="174">
        <f t="shared" si="66"/>
        <v>6</v>
      </c>
      <c r="AJ142" s="174">
        <f t="shared" si="66"/>
        <v>5</v>
      </c>
      <c r="AK142" s="174">
        <f t="shared" si="66"/>
        <v>8</v>
      </c>
      <c r="AL142" s="174">
        <f t="shared" si="66"/>
        <v>8</v>
      </c>
      <c r="AM142" s="174">
        <f t="shared" si="66"/>
        <v>3</v>
      </c>
      <c r="AN142" s="174">
        <f t="shared" si="66"/>
        <v>8</v>
      </c>
      <c r="AO142" s="174">
        <f t="shared" si="66"/>
        <v>10</v>
      </c>
      <c r="AP142" s="174">
        <f t="shared" si="66"/>
        <v>2</v>
      </c>
      <c r="AQ142" s="174">
        <f t="shared" si="66"/>
        <v>10</v>
      </c>
      <c r="AR142" s="174">
        <f t="shared" si="66"/>
        <v>3</v>
      </c>
      <c r="AS142" s="174">
        <f t="shared" si="66"/>
        <v>3</v>
      </c>
    </row>
    <row r="143" spans="2:71" x14ac:dyDescent="0.2">
      <c r="B143" s="174" t="s">
        <v>4176</v>
      </c>
      <c r="C143" s="174">
        <f>(C141+C142)/2</f>
        <v>6</v>
      </c>
      <c r="D143" s="174">
        <f>(D141+D142)/2</f>
        <v>5</v>
      </c>
      <c r="G143" s="174" t="s">
        <v>3550</v>
      </c>
      <c r="H143" s="174">
        <f t="shared" ref="H143:AS143" si="67">H141*0.3+H142*0.0254</f>
        <v>1.7262</v>
      </c>
      <c r="I143" s="174">
        <f t="shared" si="67"/>
        <v>1.6524000000000001</v>
      </c>
      <c r="J143" s="174">
        <f t="shared" si="67"/>
        <v>1.7032</v>
      </c>
      <c r="K143" s="174">
        <f t="shared" si="67"/>
        <v>1.6778</v>
      </c>
      <c r="L143" s="174">
        <f t="shared" si="67"/>
        <v>1.7262</v>
      </c>
      <c r="M143" s="174">
        <f t="shared" si="67"/>
        <v>1.8634999999999997</v>
      </c>
      <c r="N143" s="174">
        <f t="shared" si="67"/>
        <v>1.7032</v>
      </c>
      <c r="O143" s="174">
        <f t="shared" si="67"/>
        <v>0.97619999999999996</v>
      </c>
      <c r="P143" s="174">
        <f t="shared" si="67"/>
        <v>1.9269999999999998</v>
      </c>
      <c r="Q143" s="174">
        <f t="shared" si="67"/>
        <v>1.5023999999999997</v>
      </c>
      <c r="R143" s="174">
        <f t="shared" si="67"/>
        <v>1.5023999999999997</v>
      </c>
      <c r="S143" s="174">
        <f t="shared" si="67"/>
        <v>1.754</v>
      </c>
      <c r="T143" s="174">
        <f t="shared" si="67"/>
        <v>0.73970000000000002</v>
      </c>
      <c r="U143" s="174">
        <f t="shared" si="67"/>
        <v>0.95320000000000005</v>
      </c>
      <c r="V143" s="174">
        <f t="shared" si="67"/>
        <v>1.327</v>
      </c>
      <c r="W143" s="174">
        <f t="shared" si="67"/>
        <v>1.6524000000000001</v>
      </c>
      <c r="X143" s="174">
        <f t="shared" si="67"/>
        <v>1.7388999999999999</v>
      </c>
      <c r="Y143" s="174">
        <f t="shared" si="67"/>
        <v>1.8150999999999999</v>
      </c>
      <c r="Z143" s="174">
        <f t="shared" si="67"/>
        <v>1.7032</v>
      </c>
      <c r="AA143" s="174">
        <f t="shared" si="67"/>
        <v>1.2532000000000001</v>
      </c>
      <c r="AB143" s="174">
        <f t="shared" si="67"/>
        <v>1.7515999999999998</v>
      </c>
      <c r="AC143" s="174">
        <f t="shared" si="67"/>
        <v>1.7643</v>
      </c>
      <c r="AD143" s="174">
        <f t="shared" si="67"/>
        <v>0.92779999999999996</v>
      </c>
      <c r="AE143" s="174">
        <f t="shared" si="67"/>
        <v>1.7262</v>
      </c>
      <c r="AF143" s="174">
        <f t="shared" si="67"/>
        <v>1.3777999999999999</v>
      </c>
      <c r="AG143" s="174">
        <f t="shared" si="67"/>
        <v>1.7285999999999999</v>
      </c>
      <c r="AH143" s="174">
        <f t="shared" si="67"/>
        <v>1.6754</v>
      </c>
      <c r="AI143" s="174">
        <f t="shared" si="67"/>
        <v>1.6524000000000001</v>
      </c>
      <c r="AJ143" s="174">
        <f t="shared" si="67"/>
        <v>1.0269999999999999</v>
      </c>
      <c r="AK143" s="174">
        <f t="shared" si="67"/>
        <v>1.7032</v>
      </c>
      <c r="AL143" s="174">
        <f t="shared" si="67"/>
        <v>0.95320000000000005</v>
      </c>
      <c r="AM143" s="174">
        <f t="shared" si="67"/>
        <v>1.7262</v>
      </c>
      <c r="AN143" s="174">
        <f t="shared" si="67"/>
        <v>1.7032</v>
      </c>
      <c r="AO143" s="174">
        <f t="shared" si="67"/>
        <v>1.754</v>
      </c>
      <c r="AP143" s="174">
        <f t="shared" si="67"/>
        <v>1.4007999999999998</v>
      </c>
      <c r="AQ143" s="174">
        <f t="shared" si="67"/>
        <v>1.754</v>
      </c>
      <c r="AR143" s="174">
        <f t="shared" si="67"/>
        <v>1.7262</v>
      </c>
      <c r="AS143" s="174">
        <f t="shared" si="67"/>
        <v>1.7262</v>
      </c>
    </row>
    <row r="145" spans="2:45" x14ac:dyDescent="0.2">
      <c r="B145" s="174" t="s">
        <v>4177</v>
      </c>
      <c r="C145" s="174">
        <v>220</v>
      </c>
      <c r="G145" s="174" t="s">
        <v>3536</v>
      </c>
      <c r="H145" s="174">
        <f t="shared" ref="H145:O145" si="68">(H159+H160)/2</f>
        <v>150</v>
      </c>
      <c r="I145" s="174">
        <f t="shared" si="68"/>
        <v>155</v>
      </c>
      <c r="J145" s="174">
        <f t="shared" si="68"/>
        <v>180</v>
      </c>
      <c r="K145" s="174">
        <f t="shared" si="68"/>
        <v>175</v>
      </c>
      <c r="L145" s="174">
        <f t="shared" si="68"/>
        <v>177.5</v>
      </c>
      <c r="M145" s="174">
        <f t="shared" si="68"/>
        <v>260</v>
      </c>
      <c r="N145" s="174">
        <f t="shared" si="68"/>
        <v>170</v>
      </c>
      <c r="O145" s="174">
        <f t="shared" si="68"/>
        <v>42.5</v>
      </c>
      <c r="P145" s="174">
        <f>(P159+P160)/2</f>
        <v>270</v>
      </c>
      <c r="Q145" s="174">
        <f t="shared" ref="Q145:AS145" si="69">(Q159+Q160)/2</f>
        <v>117.5</v>
      </c>
      <c r="R145" s="174">
        <f t="shared" si="69"/>
        <v>117.5</v>
      </c>
      <c r="S145" s="174">
        <f t="shared" si="69"/>
        <v>160</v>
      </c>
      <c r="T145" s="174">
        <f t="shared" si="69"/>
        <v>30.5</v>
      </c>
      <c r="U145" s="174">
        <f t="shared" si="69"/>
        <v>35.5</v>
      </c>
      <c r="V145" s="174">
        <f t="shared" si="69"/>
        <v>190</v>
      </c>
      <c r="W145" s="174">
        <f t="shared" si="69"/>
        <v>155</v>
      </c>
      <c r="X145" s="174">
        <f t="shared" si="69"/>
        <v>160</v>
      </c>
      <c r="Y145" s="174">
        <f t="shared" si="69"/>
        <v>190</v>
      </c>
      <c r="Z145" s="174">
        <f t="shared" si="69"/>
        <v>170</v>
      </c>
      <c r="AA145" s="174">
        <f t="shared" si="69"/>
        <v>180</v>
      </c>
      <c r="AB145" s="174">
        <f t="shared" si="69"/>
        <v>180</v>
      </c>
      <c r="AC145" s="174">
        <f t="shared" si="69"/>
        <v>160</v>
      </c>
      <c r="AD145" s="174">
        <f t="shared" si="69"/>
        <v>35</v>
      </c>
      <c r="AE145" s="174">
        <f t="shared" si="69"/>
        <v>155</v>
      </c>
      <c r="AF145" s="174">
        <f t="shared" si="69"/>
        <v>195</v>
      </c>
      <c r="AG145" s="174">
        <f t="shared" si="69"/>
        <v>170</v>
      </c>
      <c r="AH145" s="174">
        <f t="shared" si="69"/>
        <v>197.5</v>
      </c>
      <c r="AI145" s="174">
        <f t="shared" si="69"/>
        <v>175</v>
      </c>
      <c r="AJ145" s="174">
        <f t="shared" si="69"/>
        <v>45</v>
      </c>
      <c r="AK145" s="174">
        <f t="shared" si="69"/>
        <v>170</v>
      </c>
      <c r="AL145" s="174">
        <f t="shared" si="69"/>
        <v>35.5</v>
      </c>
      <c r="AM145" s="174">
        <f t="shared" si="69"/>
        <v>155</v>
      </c>
      <c r="AN145" s="174">
        <f t="shared" si="69"/>
        <v>172.5</v>
      </c>
      <c r="AO145" s="174">
        <f t="shared" si="69"/>
        <v>190</v>
      </c>
      <c r="AP145" s="174">
        <f t="shared" si="69"/>
        <v>155</v>
      </c>
      <c r="AQ145" s="174">
        <f t="shared" si="69"/>
        <v>160</v>
      </c>
      <c r="AR145" s="174">
        <f t="shared" si="69"/>
        <v>150</v>
      </c>
      <c r="AS145" s="174">
        <f t="shared" si="69"/>
        <v>150</v>
      </c>
    </row>
    <row r="146" spans="2:45" x14ac:dyDescent="0.2">
      <c r="B146" s="174" t="s">
        <v>4178</v>
      </c>
      <c r="C146" s="174">
        <v>320</v>
      </c>
      <c r="G146" s="174" t="s">
        <v>184</v>
      </c>
      <c r="H146" s="174">
        <f t="shared" ref="H146:AS146" si="70">H145*0.45</f>
        <v>67.5</v>
      </c>
      <c r="I146" s="174">
        <f t="shared" si="70"/>
        <v>69.75</v>
      </c>
      <c r="J146" s="174">
        <f t="shared" si="70"/>
        <v>81</v>
      </c>
      <c r="K146" s="174">
        <f t="shared" si="70"/>
        <v>78.75</v>
      </c>
      <c r="L146" s="174">
        <f t="shared" si="70"/>
        <v>79.875</v>
      </c>
      <c r="M146" s="174">
        <f t="shared" si="70"/>
        <v>117</v>
      </c>
      <c r="N146" s="174">
        <f t="shared" si="70"/>
        <v>76.5</v>
      </c>
      <c r="O146" s="174">
        <f t="shared" si="70"/>
        <v>19.125</v>
      </c>
      <c r="P146" s="174">
        <f t="shared" si="70"/>
        <v>121.5</v>
      </c>
      <c r="Q146" s="174">
        <f t="shared" si="70"/>
        <v>52.875</v>
      </c>
      <c r="R146" s="174">
        <f t="shared" si="70"/>
        <v>52.875</v>
      </c>
      <c r="S146" s="174">
        <f t="shared" si="70"/>
        <v>72</v>
      </c>
      <c r="T146" s="174">
        <f t="shared" si="70"/>
        <v>13.725</v>
      </c>
      <c r="U146" s="174">
        <f t="shared" si="70"/>
        <v>15.975</v>
      </c>
      <c r="V146" s="174">
        <f t="shared" si="70"/>
        <v>85.5</v>
      </c>
      <c r="W146" s="174">
        <f t="shared" si="70"/>
        <v>69.75</v>
      </c>
      <c r="X146" s="174">
        <f t="shared" si="70"/>
        <v>72</v>
      </c>
      <c r="Y146" s="174">
        <f t="shared" si="70"/>
        <v>85.5</v>
      </c>
      <c r="Z146" s="174">
        <f t="shared" si="70"/>
        <v>76.5</v>
      </c>
      <c r="AA146" s="174">
        <f t="shared" si="70"/>
        <v>81</v>
      </c>
      <c r="AB146" s="174">
        <f t="shared" si="70"/>
        <v>81</v>
      </c>
      <c r="AC146" s="174">
        <f t="shared" si="70"/>
        <v>72</v>
      </c>
      <c r="AD146" s="174">
        <f t="shared" si="70"/>
        <v>15.75</v>
      </c>
      <c r="AE146" s="174">
        <f t="shared" si="70"/>
        <v>69.75</v>
      </c>
      <c r="AF146" s="174">
        <f t="shared" si="70"/>
        <v>87.75</v>
      </c>
      <c r="AG146" s="174">
        <f t="shared" si="70"/>
        <v>76.5</v>
      </c>
      <c r="AH146" s="174">
        <f t="shared" si="70"/>
        <v>88.875</v>
      </c>
      <c r="AI146" s="174">
        <f t="shared" si="70"/>
        <v>78.75</v>
      </c>
      <c r="AJ146" s="174">
        <f t="shared" si="70"/>
        <v>20.25</v>
      </c>
      <c r="AK146" s="174">
        <f t="shared" si="70"/>
        <v>76.5</v>
      </c>
      <c r="AL146" s="174">
        <f t="shared" si="70"/>
        <v>15.975</v>
      </c>
      <c r="AM146" s="174">
        <f t="shared" si="70"/>
        <v>69.75</v>
      </c>
      <c r="AN146" s="174">
        <f t="shared" si="70"/>
        <v>77.625</v>
      </c>
      <c r="AO146" s="174">
        <f t="shared" si="70"/>
        <v>85.5</v>
      </c>
      <c r="AP146" s="174">
        <f t="shared" si="70"/>
        <v>69.75</v>
      </c>
      <c r="AQ146" s="174">
        <f t="shared" si="70"/>
        <v>72</v>
      </c>
      <c r="AR146" s="174">
        <f t="shared" si="70"/>
        <v>67.5</v>
      </c>
      <c r="AS146" s="174">
        <f t="shared" si="70"/>
        <v>67.5</v>
      </c>
    </row>
    <row r="147" spans="2:45" x14ac:dyDescent="0.2">
      <c r="B147" s="174" t="s">
        <v>4176</v>
      </c>
      <c r="C147" s="174">
        <f>(C145+C146)/2</f>
        <v>270</v>
      </c>
    </row>
    <row r="148" spans="2:45" x14ac:dyDescent="0.2">
      <c r="G148" s="182" t="s">
        <v>3551</v>
      </c>
      <c r="H148" s="224">
        <f t="shared" ref="H148:AS148" si="71">H146/H143</f>
        <v>39.103232533889468</v>
      </c>
      <c r="I148" s="224">
        <f t="shared" si="71"/>
        <v>42.211328976034856</v>
      </c>
      <c r="J148" s="224">
        <f t="shared" si="71"/>
        <v>47.557538750587128</v>
      </c>
      <c r="K148" s="224">
        <f t="shared" si="71"/>
        <v>46.936464417689834</v>
      </c>
      <c r="L148" s="224">
        <f t="shared" si="71"/>
        <v>46.272158498435871</v>
      </c>
      <c r="M148" s="224">
        <f t="shared" si="71"/>
        <v>62.78508183525625</v>
      </c>
      <c r="N148" s="224">
        <f t="shared" si="71"/>
        <v>44.9154532644434</v>
      </c>
      <c r="O148" s="224">
        <f t="shared" si="71"/>
        <v>19.591272280270438</v>
      </c>
      <c r="P148" s="224">
        <f t="shared" si="71"/>
        <v>63.051375194603018</v>
      </c>
      <c r="Q148" s="224">
        <f t="shared" si="71"/>
        <v>35.193690095846648</v>
      </c>
      <c r="R148" s="224">
        <f t="shared" si="71"/>
        <v>35.193690095846648</v>
      </c>
      <c r="S148" s="224">
        <f t="shared" si="71"/>
        <v>41.049030786773088</v>
      </c>
      <c r="T148" s="224">
        <f t="shared" si="71"/>
        <v>18.554819521427603</v>
      </c>
      <c r="U148" s="224">
        <f t="shared" si="71"/>
        <v>16.759336970205624</v>
      </c>
      <c r="V148" s="224">
        <f t="shared" si="71"/>
        <v>64.431047475508663</v>
      </c>
      <c r="W148" s="224">
        <f t="shared" si="71"/>
        <v>42.211328976034856</v>
      </c>
      <c r="X148" s="224">
        <f t="shared" si="71"/>
        <v>41.405486226925071</v>
      </c>
      <c r="Y148" s="224">
        <f t="shared" si="71"/>
        <v>47.104842708390727</v>
      </c>
      <c r="Z148" s="224">
        <f t="shared" si="71"/>
        <v>44.9154532644434</v>
      </c>
      <c r="AA148" s="224">
        <f t="shared" si="71"/>
        <v>64.634535588892433</v>
      </c>
      <c r="AB148" s="224">
        <f t="shared" si="71"/>
        <v>46.243434574103681</v>
      </c>
      <c r="AC148" s="224">
        <f t="shared" si="71"/>
        <v>40.80938615881653</v>
      </c>
      <c r="AD148" s="224">
        <f t="shared" si="71"/>
        <v>16.975641302004743</v>
      </c>
      <c r="AE148" s="224">
        <f t="shared" si="71"/>
        <v>40.40667361835245</v>
      </c>
      <c r="AF148" s="224">
        <f t="shared" si="71"/>
        <v>63.688488895340399</v>
      </c>
      <c r="AG148" s="224">
        <f t="shared" si="71"/>
        <v>44.255466851787574</v>
      </c>
      <c r="AH148" s="224">
        <f t="shared" si="71"/>
        <v>53.047033544228242</v>
      </c>
      <c r="AI148" s="224">
        <f t="shared" si="71"/>
        <v>47.657952069716771</v>
      </c>
      <c r="AJ148" s="224">
        <f t="shared" si="71"/>
        <v>19.717624148003896</v>
      </c>
      <c r="AK148" s="224">
        <f t="shared" si="71"/>
        <v>44.9154532644434</v>
      </c>
      <c r="AL148" s="224">
        <f t="shared" si="71"/>
        <v>16.759336970205624</v>
      </c>
      <c r="AM148" s="224">
        <f t="shared" si="71"/>
        <v>40.40667361835245</v>
      </c>
      <c r="AN148" s="224">
        <f t="shared" si="71"/>
        <v>45.575974635979328</v>
      </c>
      <c r="AO148" s="224">
        <f t="shared" si="71"/>
        <v>48.745724059293046</v>
      </c>
      <c r="AP148" s="224">
        <f t="shared" si="71"/>
        <v>49.792975442604231</v>
      </c>
      <c r="AQ148" s="224">
        <f t="shared" si="71"/>
        <v>41.049030786773088</v>
      </c>
      <c r="AR148" s="224">
        <f t="shared" si="71"/>
        <v>39.103232533889468</v>
      </c>
      <c r="AS148" s="224">
        <f t="shared" si="71"/>
        <v>39.103232533889468</v>
      </c>
    </row>
    <row r="149" spans="2:45" x14ac:dyDescent="0.2">
      <c r="C149" s="174" t="s">
        <v>4404</v>
      </c>
      <c r="H149" s="204"/>
      <c r="I149" s="204"/>
      <c r="J149" s="204"/>
      <c r="K149" s="204"/>
      <c r="L149" s="204"/>
      <c r="M149" s="204"/>
      <c r="N149" s="204"/>
      <c r="O149" s="204"/>
      <c r="P149" s="204"/>
      <c r="Q149" s="204"/>
      <c r="R149" s="204"/>
      <c r="S149" s="204"/>
      <c r="T149" s="204"/>
      <c r="U149" s="204"/>
      <c r="V149" s="204"/>
      <c r="W149" s="204"/>
      <c r="X149" s="204"/>
      <c r="Y149" s="204"/>
      <c r="Z149" s="204"/>
      <c r="AA149" s="204"/>
      <c r="AB149" s="204"/>
    </row>
    <row r="150" spans="2:45" x14ac:dyDescent="0.2">
      <c r="B150" s="174">
        <v>1</v>
      </c>
      <c r="C150" s="174" t="s">
        <v>4407</v>
      </c>
      <c r="H150" s="204"/>
      <c r="I150" s="204"/>
      <c r="J150" s="204"/>
      <c r="K150" s="204"/>
      <c r="L150" s="204"/>
      <c r="M150" s="204"/>
      <c r="N150" s="204"/>
      <c r="O150" s="204"/>
      <c r="P150" s="204"/>
      <c r="Q150" s="204"/>
      <c r="R150" s="204"/>
      <c r="S150" s="204"/>
      <c r="T150" s="204"/>
      <c r="U150" s="204"/>
      <c r="V150" s="204"/>
      <c r="W150" s="204"/>
      <c r="X150" s="204"/>
      <c r="Y150" s="204"/>
      <c r="Z150" s="204"/>
      <c r="AA150" s="204"/>
      <c r="AB150" s="204"/>
    </row>
    <row r="151" spans="2:45" x14ac:dyDescent="0.2">
      <c r="B151" s="174">
        <v>2</v>
      </c>
      <c r="C151" s="174" t="s">
        <v>4406</v>
      </c>
      <c r="G151" s="174" t="s">
        <v>3552</v>
      </c>
      <c r="H151" s="204">
        <f t="shared" ref="H151:AS151" si="72">H148*(H143+0.0254)</f>
        <v>68.49322210636079</v>
      </c>
      <c r="I151" s="204">
        <f t="shared" si="72"/>
        <v>70.822167755991288</v>
      </c>
      <c r="J151" s="204">
        <f t="shared" si="72"/>
        <v>82.207961484264914</v>
      </c>
      <c r="K151" s="204">
        <f t="shared" si="72"/>
        <v>79.94218619620932</v>
      </c>
      <c r="L151" s="204">
        <f t="shared" si="72"/>
        <v>81.050312825860274</v>
      </c>
      <c r="M151" s="204">
        <f t="shared" si="72"/>
        <v>118.59474107861551</v>
      </c>
      <c r="N151" s="204">
        <f t="shared" si="72"/>
        <v>77.640852512916865</v>
      </c>
      <c r="O151" s="204">
        <f t="shared" si="72"/>
        <v>19.622618315918871</v>
      </c>
      <c r="P151" s="204">
        <f t="shared" si="72"/>
        <v>123.10150492994293</v>
      </c>
      <c r="Q151" s="204">
        <f t="shared" si="72"/>
        <v>53.768919728434504</v>
      </c>
      <c r="R151" s="204">
        <f t="shared" si="72"/>
        <v>53.768919728434504</v>
      </c>
      <c r="S151" s="204">
        <f t="shared" si="72"/>
        <v>73.04264538198403</v>
      </c>
      <c r="T151" s="204">
        <f t="shared" si="72"/>
        <v>14.19629241584426</v>
      </c>
      <c r="U151" s="204">
        <f t="shared" si="72"/>
        <v>16.400687159043223</v>
      </c>
      <c r="V151" s="204">
        <f t="shared" si="72"/>
        <v>87.13654860587792</v>
      </c>
      <c r="W151" s="204">
        <f t="shared" si="72"/>
        <v>70.822167755991288</v>
      </c>
      <c r="X151" s="204">
        <f t="shared" si="72"/>
        <v>73.051699350163901</v>
      </c>
      <c r="Y151" s="204">
        <f t="shared" si="72"/>
        <v>86.696463004793131</v>
      </c>
      <c r="Z151" s="204">
        <f t="shared" si="72"/>
        <v>77.640852512916865</v>
      </c>
      <c r="AA151" s="204">
        <f t="shared" si="72"/>
        <v>82.641717203957882</v>
      </c>
      <c r="AB151" s="204">
        <f t="shared" si="72"/>
        <v>82.174583238182237</v>
      </c>
      <c r="AC151" s="204">
        <f t="shared" si="72"/>
        <v>73.036558408433947</v>
      </c>
      <c r="AD151" s="204">
        <f t="shared" si="72"/>
        <v>16.181181289070921</v>
      </c>
      <c r="AE151" s="204">
        <f t="shared" si="72"/>
        <v>70.776329509906148</v>
      </c>
      <c r="AF151" s="204">
        <f t="shared" si="72"/>
        <v>89.367687617941641</v>
      </c>
      <c r="AG151" s="204">
        <f t="shared" si="72"/>
        <v>77.624088858035407</v>
      </c>
      <c r="AH151" s="204">
        <f t="shared" si="72"/>
        <v>90.222394652023397</v>
      </c>
      <c r="AI151" s="204">
        <f t="shared" si="72"/>
        <v>79.960511982570807</v>
      </c>
      <c r="AJ151" s="204">
        <f t="shared" si="72"/>
        <v>20.750827653359302</v>
      </c>
      <c r="AK151" s="204">
        <f t="shared" si="72"/>
        <v>77.640852512916865</v>
      </c>
      <c r="AL151" s="204">
        <f t="shared" si="72"/>
        <v>16.400687159043223</v>
      </c>
      <c r="AM151" s="204">
        <f t="shared" si="72"/>
        <v>70.776329509906148</v>
      </c>
      <c r="AN151" s="204">
        <f t="shared" si="72"/>
        <v>78.782629755753874</v>
      </c>
      <c r="AO151" s="204">
        <f t="shared" si="72"/>
        <v>86.738141391106055</v>
      </c>
      <c r="AP151" s="204">
        <f t="shared" si="72"/>
        <v>71.014741576242145</v>
      </c>
      <c r="AQ151" s="204">
        <f t="shared" si="72"/>
        <v>73.04264538198403</v>
      </c>
      <c r="AR151" s="204">
        <f t="shared" si="72"/>
        <v>68.49322210636079</v>
      </c>
      <c r="AS151" s="204">
        <f t="shared" si="72"/>
        <v>68.49322210636079</v>
      </c>
    </row>
    <row r="152" spans="2:45" x14ac:dyDescent="0.2">
      <c r="B152" s="174">
        <v>3</v>
      </c>
      <c r="C152" s="174" t="s">
        <v>4405</v>
      </c>
      <c r="G152" s="182" t="s">
        <v>3553</v>
      </c>
      <c r="H152" s="224">
        <f t="shared" ref="H152:AS152" si="73">H151-H146</f>
        <v>0.99322210636078978</v>
      </c>
      <c r="I152" s="224">
        <f t="shared" si="73"/>
        <v>1.0721677559912877</v>
      </c>
      <c r="J152" s="224">
        <f t="shared" si="73"/>
        <v>1.2079614842649136</v>
      </c>
      <c r="K152" s="224">
        <f t="shared" si="73"/>
        <v>1.1921861962093203</v>
      </c>
      <c r="L152" s="224">
        <f t="shared" si="73"/>
        <v>1.1753128258602743</v>
      </c>
      <c r="M152" s="224">
        <f t="shared" si="73"/>
        <v>1.5947410786155132</v>
      </c>
      <c r="N152" s="224">
        <f t="shared" si="73"/>
        <v>1.1408525129168652</v>
      </c>
      <c r="O152" s="224">
        <f t="shared" si="73"/>
        <v>0.49761831591887074</v>
      </c>
      <c r="P152" s="224">
        <f t="shared" si="73"/>
        <v>1.6015049299429336</v>
      </c>
      <c r="Q152" s="224">
        <f t="shared" si="73"/>
        <v>0.89391972843450418</v>
      </c>
      <c r="R152" s="224">
        <f t="shared" si="73"/>
        <v>0.89391972843450418</v>
      </c>
      <c r="S152" s="224">
        <f t="shared" si="73"/>
        <v>1.0426453819840305</v>
      </c>
      <c r="T152" s="224">
        <f t="shared" si="73"/>
        <v>0.4712924158442604</v>
      </c>
      <c r="U152" s="224">
        <f t="shared" si="73"/>
        <v>0.42568715904322296</v>
      </c>
      <c r="V152" s="224">
        <f t="shared" si="73"/>
        <v>1.6365486058779197</v>
      </c>
      <c r="W152" s="224">
        <f t="shared" si="73"/>
        <v>1.0721677559912877</v>
      </c>
      <c r="X152" s="224">
        <f t="shared" si="73"/>
        <v>1.0516993501639007</v>
      </c>
      <c r="Y152" s="224">
        <f t="shared" si="73"/>
        <v>1.1964630047931308</v>
      </c>
      <c r="Z152" s="224">
        <f t="shared" si="73"/>
        <v>1.1408525129168652</v>
      </c>
      <c r="AA152" s="224">
        <f t="shared" si="73"/>
        <v>1.6417172039578816</v>
      </c>
      <c r="AB152" s="224">
        <f t="shared" si="73"/>
        <v>1.1745832381822368</v>
      </c>
      <c r="AC152" s="224">
        <f t="shared" si="73"/>
        <v>1.0365584084339474</v>
      </c>
      <c r="AD152" s="224">
        <f t="shared" si="73"/>
        <v>0.43118128907092057</v>
      </c>
      <c r="AE152" s="224">
        <f t="shared" si="73"/>
        <v>1.026329509906148</v>
      </c>
      <c r="AF152" s="224">
        <f t="shared" si="73"/>
        <v>1.6176876179416411</v>
      </c>
      <c r="AG152" s="224">
        <f t="shared" si="73"/>
        <v>1.1240888580354067</v>
      </c>
      <c r="AH152" s="224">
        <f t="shared" si="73"/>
        <v>1.3473946520233966</v>
      </c>
      <c r="AI152" s="224">
        <f t="shared" si="73"/>
        <v>1.2105119825708073</v>
      </c>
      <c r="AJ152" s="224">
        <f t="shared" si="73"/>
        <v>0.50082765335930191</v>
      </c>
      <c r="AK152" s="224">
        <f t="shared" si="73"/>
        <v>1.1408525129168652</v>
      </c>
      <c r="AL152" s="224">
        <f t="shared" si="73"/>
        <v>0.42568715904322296</v>
      </c>
      <c r="AM152" s="224">
        <f t="shared" si="73"/>
        <v>1.026329509906148</v>
      </c>
      <c r="AN152" s="224">
        <f t="shared" si="73"/>
        <v>1.1576297557538737</v>
      </c>
      <c r="AO152" s="224">
        <f t="shared" si="73"/>
        <v>1.2381413911060548</v>
      </c>
      <c r="AP152" s="224">
        <f t="shared" si="73"/>
        <v>1.2647415762421446</v>
      </c>
      <c r="AQ152" s="224">
        <f t="shared" si="73"/>
        <v>1.0426453819840305</v>
      </c>
      <c r="AR152" s="224">
        <f t="shared" si="73"/>
        <v>0.99322210636078978</v>
      </c>
      <c r="AS152" s="224">
        <f t="shared" si="73"/>
        <v>0.99322210636078978</v>
      </c>
    </row>
    <row r="153" spans="2:45" x14ac:dyDescent="0.2">
      <c r="B153" s="174">
        <v>4</v>
      </c>
      <c r="C153" s="174" t="s">
        <v>4408</v>
      </c>
    </row>
    <row r="154" spans="2:45" x14ac:dyDescent="0.2">
      <c r="B154" s="174">
        <v>5</v>
      </c>
      <c r="C154" s="174" t="s">
        <v>4409</v>
      </c>
      <c r="G154" s="174" t="s">
        <v>4384</v>
      </c>
      <c r="H154" s="174">
        <v>5</v>
      </c>
      <c r="I154" s="174">
        <v>4</v>
      </c>
      <c r="J154" s="174">
        <v>4</v>
      </c>
      <c r="K154" s="174">
        <v>4</v>
      </c>
      <c r="L154" s="174">
        <v>5</v>
      </c>
      <c r="M154" s="174">
        <v>6</v>
      </c>
      <c r="N154" s="174">
        <v>4</v>
      </c>
      <c r="O154" s="174">
        <v>3</v>
      </c>
      <c r="P154" s="174">
        <v>6</v>
      </c>
      <c r="Q154" s="174">
        <v>4</v>
      </c>
      <c r="R154" s="174">
        <v>4</v>
      </c>
      <c r="S154" s="174">
        <v>5</v>
      </c>
      <c r="T154" s="174">
        <v>2</v>
      </c>
      <c r="U154" s="174">
        <v>2</v>
      </c>
      <c r="V154" s="174">
        <v>4</v>
      </c>
      <c r="W154" s="174">
        <v>4</v>
      </c>
      <c r="X154" s="174">
        <v>5</v>
      </c>
      <c r="Y154" s="174">
        <v>5</v>
      </c>
      <c r="Z154" s="174">
        <v>4</v>
      </c>
      <c r="AA154" s="174">
        <v>3</v>
      </c>
      <c r="AB154" s="174">
        <v>5</v>
      </c>
      <c r="AC154" s="174">
        <v>5</v>
      </c>
      <c r="AD154" s="174">
        <v>2</v>
      </c>
      <c r="AE154" s="174">
        <v>5</v>
      </c>
      <c r="AF154" s="174">
        <v>4</v>
      </c>
      <c r="AG154" s="174">
        <v>4</v>
      </c>
      <c r="AH154" s="174">
        <v>5</v>
      </c>
      <c r="AI154" s="174">
        <v>4</v>
      </c>
      <c r="AJ154" s="174">
        <v>3</v>
      </c>
      <c r="AK154" s="174">
        <v>4</v>
      </c>
      <c r="AL154" s="174">
        <v>2</v>
      </c>
      <c r="AM154" s="174">
        <v>5</v>
      </c>
      <c r="AN154" s="174">
        <v>4</v>
      </c>
      <c r="AO154" s="174">
        <v>5</v>
      </c>
      <c r="AP154" s="174">
        <v>4</v>
      </c>
      <c r="AQ154" s="174">
        <v>5</v>
      </c>
      <c r="AR154" s="174">
        <v>5</v>
      </c>
      <c r="AS154" s="174">
        <v>5</v>
      </c>
    </row>
    <row r="155" spans="2:45" x14ac:dyDescent="0.2">
      <c r="B155" s="174">
        <v>6</v>
      </c>
      <c r="C155" s="174" t="s">
        <v>4410</v>
      </c>
      <c r="G155" s="174" t="s">
        <v>4385</v>
      </c>
      <c r="H155" s="174">
        <v>5</v>
      </c>
      <c r="I155" s="174">
        <v>10</v>
      </c>
      <c r="J155" s="174">
        <v>10</v>
      </c>
      <c r="K155" s="174">
        <v>9</v>
      </c>
      <c r="L155" s="174">
        <v>0</v>
      </c>
      <c r="M155" s="174">
        <v>0</v>
      </c>
      <c r="N155" s="174">
        <v>10</v>
      </c>
      <c r="O155" s="174">
        <v>0</v>
      </c>
      <c r="P155" s="174">
        <v>2</v>
      </c>
      <c r="Q155" s="174">
        <v>7</v>
      </c>
      <c r="R155" s="174">
        <v>7</v>
      </c>
      <c r="S155" s="174">
        <v>10</v>
      </c>
      <c r="T155" s="174">
        <v>1</v>
      </c>
      <c r="U155" s="174">
        <v>10</v>
      </c>
      <c r="V155" s="174">
        <v>2</v>
      </c>
      <c r="W155" s="174">
        <v>10</v>
      </c>
      <c r="X155" s="174">
        <v>5</v>
      </c>
      <c r="Y155" s="174">
        <v>9</v>
      </c>
      <c r="Z155" s="174">
        <v>10</v>
      </c>
      <c r="AA155" s="174">
        <v>11</v>
      </c>
      <c r="AB155" s="174">
        <v>2</v>
      </c>
      <c r="AC155" s="174">
        <v>9</v>
      </c>
      <c r="AD155" s="174">
        <v>10</v>
      </c>
      <c r="AE155" s="174">
        <v>5</v>
      </c>
      <c r="AF155" s="174">
        <v>4</v>
      </c>
      <c r="AG155" s="174">
        <v>11</v>
      </c>
      <c r="AH155" s="174">
        <v>0</v>
      </c>
      <c r="AI155" s="174">
        <v>10</v>
      </c>
      <c r="AJ155" s="174">
        <v>2</v>
      </c>
      <c r="AK155" s="174">
        <v>10</v>
      </c>
      <c r="AL155" s="174">
        <v>10</v>
      </c>
      <c r="AM155" s="174">
        <v>5</v>
      </c>
      <c r="AN155" s="174">
        <v>10</v>
      </c>
      <c r="AO155" s="174">
        <v>10</v>
      </c>
      <c r="AP155" s="174">
        <v>4</v>
      </c>
      <c r="AQ155" s="174">
        <v>10</v>
      </c>
      <c r="AR155" s="174">
        <v>5</v>
      </c>
      <c r="AS155" s="174">
        <v>5</v>
      </c>
    </row>
    <row r="156" spans="2:45" x14ac:dyDescent="0.2">
      <c r="G156" s="174" t="s">
        <v>4386</v>
      </c>
      <c r="H156" s="174">
        <v>6</v>
      </c>
      <c r="I156" s="174">
        <v>6</v>
      </c>
      <c r="J156" s="174">
        <v>6</v>
      </c>
      <c r="K156" s="174">
        <v>6</v>
      </c>
      <c r="L156" s="174">
        <v>6</v>
      </c>
      <c r="M156" s="174">
        <v>6</v>
      </c>
      <c r="N156" s="174">
        <v>6</v>
      </c>
      <c r="O156" s="174">
        <v>3</v>
      </c>
      <c r="P156" s="174">
        <v>6</v>
      </c>
      <c r="Q156" s="174">
        <v>5</v>
      </c>
      <c r="R156" s="174">
        <v>5</v>
      </c>
      <c r="S156" s="174">
        <v>5</v>
      </c>
      <c r="T156" s="174">
        <v>2</v>
      </c>
      <c r="U156" s="174">
        <v>3</v>
      </c>
      <c r="V156" s="174">
        <v>4</v>
      </c>
      <c r="W156" s="174">
        <v>6</v>
      </c>
      <c r="X156" s="174">
        <v>6</v>
      </c>
      <c r="Y156" s="174">
        <v>6</v>
      </c>
      <c r="Z156" s="174">
        <v>6</v>
      </c>
      <c r="AA156" s="174">
        <v>4</v>
      </c>
      <c r="AB156" s="174">
        <v>6</v>
      </c>
      <c r="AC156" s="174">
        <v>6</v>
      </c>
      <c r="AD156" s="174">
        <v>3</v>
      </c>
      <c r="AE156" s="174">
        <v>6</v>
      </c>
      <c r="AF156" s="174">
        <v>4</v>
      </c>
      <c r="AG156" s="174">
        <v>6</v>
      </c>
      <c r="AH156" s="174">
        <v>6</v>
      </c>
      <c r="AI156" s="174">
        <v>6</v>
      </c>
      <c r="AJ156" s="174">
        <v>3</v>
      </c>
      <c r="AK156" s="174">
        <v>6</v>
      </c>
      <c r="AL156" s="174">
        <v>3</v>
      </c>
      <c r="AM156" s="174">
        <v>6</v>
      </c>
      <c r="AN156" s="174">
        <v>6</v>
      </c>
      <c r="AO156" s="174">
        <v>5</v>
      </c>
      <c r="AP156" s="174">
        <v>5</v>
      </c>
      <c r="AQ156" s="174">
        <v>5</v>
      </c>
      <c r="AR156" s="174">
        <v>6</v>
      </c>
      <c r="AS156" s="174">
        <v>6</v>
      </c>
    </row>
    <row r="157" spans="2:45" x14ac:dyDescent="0.2">
      <c r="G157" s="174" t="s">
        <v>4387</v>
      </c>
      <c r="H157" s="174">
        <v>1</v>
      </c>
      <c r="I157" s="174">
        <v>2</v>
      </c>
      <c r="J157" s="174">
        <v>6</v>
      </c>
      <c r="K157" s="174">
        <v>5</v>
      </c>
      <c r="L157" s="174">
        <v>6</v>
      </c>
      <c r="M157" s="174">
        <v>5</v>
      </c>
      <c r="N157" s="174">
        <v>6</v>
      </c>
      <c r="O157" s="174">
        <v>6</v>
      </c>
      <c r="P157" s="174">
        <v>8</v>
      </c>
      <c r="Q157" s="174">
        <v>5</v>
      </c>
      <c r="R157" s="174">
        <v>5</v>
      </c>
      <c r="S157" s="174">
        <v>10</v>
      </c>
      <c r="T157" s="174">
        <v>10</v>
      </c>
      <c r="U157" s="174">
        <v>6</v>
      </c>
      <c r="V157" s="174">
        <v>8</v>
      </c>
      <c r="W157" s="174">
        <v>2</v>
      </c>
      <c r="X157" s="174">
        <v>2</v>
      </c>
      <c r="Y157" s="174">
        <v>4</v>
      </c>
      <c r="Z157" s="174">
        <v>6</v>
      </c>
      <c r="AA157" s="174">
        <v>5</v>
      </c>
      <c r="AB157" s="174">
        <v>6</v>
      </c>
      <c r="AC157" s="174">
        <v>0</v>
      </c>
      <c r="AD157" s="174">
        <v>4</v>
      </c>
      <c r="AE157" s="174">
        <v>1</v>
      </c>
      <c r="AF157" s="174">
        <v>10</v>
      </c>
      <c r="AG157" s="174">
        <v>7</v>
      </c>
      <c r="AH157" s="174">
        <v>2</v>
      </c>
      <c r="AI157" s="174">
        <v>2</v>
      </c>
      <c r="AJ157" s="174">
        <v>8</v>
      </c>
      <c r="AK157" s="174">
        <v>6</v>
      </c>
      <c r="AL157" s="174">
        <v>6</v>
      </c>
      <c r="AM157" s="174">
        <v>1</v>
      </c>
      <c r="AN157" s="174">
        <v>6</v>
      </c>
      <c r="AO157" s="174">
        <v>10</v>
      </c>
      <c r="AP157" s="174">
        <v>0</v>
      </c>
      <c r="AQ157" s="174">
        <v>10</v>
      </c>
      <c r="AR157" s="174">
        <v>1</v>
      </c>
      <c r="AS157" s="174">
        <v>1</v>
      </c>
    </row>
    <row r="159" spans="2:45" x14ac:dyDescent="0.2">
      <c r="G159" s="174" t="s">
        <v>4177</v>
      </c>
      <c r="H159" s="174">
        <v>130</v>
      </c>
      <c r="I159" s="174">
        <v>120</v>
      </c>
      <c r="J159" s="174">
        <v>120</v>
      </c>
      <c r="K159" s="174">
        <v>115</v>
      </c>
      <c r="L159" s="174">
        <v>120</v>
      </c>
      <c r="M159" s="174">
        <v>200</v>
      </c>
      <c r="N159" s="174">
        <v>120</v>
      </c>
      <c r="O159" s="174">
        <v>40</v>
      </c>
      <c r="P159" s="174">
        <v>220</v>
      </c>
      <c r="Q159" s="174">
        <v>80</v>
      </c>
      <c r="R159" s="174">
        <v>80</v>
      </c>
      <c r="S159" s="174">
        <v>160</v>
      </c>
      <c r="T159" s="174">
        <v>26</v>
      </c>
      <c r="U159" s="174">
        <v>33</v>
      </c>
      <c r="V159" s="174">
        <v>160</v>
      </c>
      <c r="W159" s="174">
        <v>120</v>
      </c>
      <c r="X159" s="174">
        <v>130</v>
      </c>
      <c r="Y159" s="174">
        <v>155</v>
      </c>
      <c r="Z159" s="174">
        <v>120</v>
      </c>
      <c r="AA159" s="174">
        <v>135</v>
      </c>
      <c r="AB159" s="174">
        <v>120</v>
      </c>
      <c r="AC159" s="174">
        <v>155</v>
      </c>
      <c r="AD159" s="174">
        <v>32</v>
      </c>
      <c r="AE159" s="174">
        <v>130</v>
      </c>
      <c r="AF159" s="174">
        <v>150</v>
      </c>
      <c r="AG159" s="174">
        <v>120</v>
      </c>
      <c r="AH159" s="174">
        <v>135</v>
      </c>
      <c r="AI159" s="174">
        <v>130</v>
      </c>
      <c r="AJ159" s="174">
        <v>42</v>
      </c>
      <c r="AK159" s="174">
        <v>120</v>
      </c>
      <c r="AL159" s="174">
        <v>33</v>
      </c>
      <c r="AM159" s="174">
        <v>130</v>
      </c>
      <c r="AN159" s="174">
        <v>125</v>
      </c>
      <c r="AO159" s="174">
        <v>160</v>
      </c>
      <c r="AP159" s="174">
        <v>110</v>
      </c>
      <c r="AQ159" s="174">
        <v>160</v>
      </c>
      <c r="AR159" s="174">
        <v>130</v>
      </c>
      <c r="AS159" s="174">
        <v>130</v>
      </c>
    </row>
    <row r="160" spans="2:45" x14ac:dyDescent="0.2">
      <c r="G160" s="174" t="s">
        <v>4178</v>
      </c>
      <c r="H160" s="174">
        <v>170</v>
      </c>
      <c r="I160" s="174">
        <v>190</v>
      </c>
      <c r="J160" s="174">
        <v>240</v>
      </c>
      <c r="K160" s="174">
        <v>235</v>
      </c>
      <c r="L160" s="174">
        <v>235</v>
      </c>
      <c r="M160" s="174">
        <v>320</v>
      </c>
      <c r="N160" s="174">
        <v>220</v>
      </c>
      <c r="O160" s="174">
        <v>45</v>
      </c>
      <c r="P160" s="174">
        <v>320</v>
      </c>
      <c r="Q160" s="174">
        <v>155</v>
      </c>
      <c r="R160" s="174">
        <v>155</v>
      </c>
      <c r="S160" s="174">
        <v>160</v>
      </c>
      <c r="T160" s="174">
        <v>35</v>
      </c>
      <c r="U160" s="174">
        <v>38</v>
      </c>
      <c r="V160" s="174">
        <v>220</v>
      </c>
      <c r="W160" s="174">
        <v>190</v>
      </c>
      <c r="X160" s="174">
        <v>190</v>
      </c>
      <c r="Y160" s="174">
        <v>225</v>
      </c>
      <c r="Z160" s="174">
        <v>220</v>
      </c>
      <c r="AA160" s="174">
        <v>225</v>
      </c>
      <c r="AB160" s="174">
        <v>240</v>
      </c>
      <c r="AC160" s="174">
        <v>165</v>
      </c>
      <c r="AD160" s="174">
        <v>38</v>
      </c>
      <c r="AE160" s="174">
        <v>180</v>
      </c>
      <c r="AF160" s="174">
        <v>240</v>
      </c>
      <c r="AG160" s="174">
        <v>220</v>
      </c>
      <c r="AH160" s="174">
        <v>260</v>
      </c>
      <c r="AI160" s="174">
        <v>220</v>
      </c>
      <c r="AJ160" s="174">
        <v>48</v>
      </c>
      <c r="AK160" s="174">
        <v>220</v>
      </c>
      <c r="AL160" s="174">
        <v>38</v>
      </c>
      <c r="AM160" s="174">
        <v>180</v>
      </c>
      <c r="AN160" s="174">
        <v>220</v>
      </c>
      <c r="AO160" s="174">
        <v>220</v>
      </c>
      <c r="AP160" s="174">
        <v>200</v>
      </c>
      <c r="AQ160" s="174">
        <v>160</v>
      </c>
      <c r="AR160" s="174">
        <v>170</v>
      </c>
      <c r="AS160" s="174">
        <v>170</v>
      </c>
    </row>
    <row r="163" spans="7:45" x14ac:dyDescent="0.2">
      <c r="G163" s="174" t="s">
        <v>3563</v>
      </c>
      <c r="H163" s="268" t="s">
        <v>4181</v>
      </c>
      <c r="I163" s="268" t="s">
        <v>4381</v>
      </c>
      <c r="J163" s="268" t="s">
        <v>4197</v>
      </c>
      <c r="K163" s="268" t="s">
        <v>4187</v>
      </c>
      <c r="L163" s="268" t="s">
        <v>4188</v>
      </c>
      <c r="M163" s="268" t="s">
        <v>913</v>
      </c>
      <c r="N163" s="268" t="s">
        <v>4195</v>
      </c>
      <c r="O163" s="268" t="s">
        <v>4183</v>
      </c>
      <c r="P163" s="268" t="s">
        <v>4193</v>
      </c>
      <c r="Q163" s="268" t="s">
        <v>977</v>
      </c>
      <c r="R163" s="268" t="s">
        <v>976</v>
      </c>
      <c r="S163" s="268" t="s">
        <v>4198</v>
      </c>
      <c r="T163" s="268" t="s">
        <v>4349</v>
      </c>
      <c r="U163" s="268" t="s">
        <v>4361</v>
      </c>
      <c r="V163" s="268" t="s">
        <v>4360</v>
      </c>
      <c r="W163" s="268" t="s">
        <v>4199</v>
      </c>
      <c r="X163" s="268" t="s">
        <v>899</v>
      </c>
      <c r="Y163" s="268" t="s">
        <v>1058</v>
      </c>
      <c r="Z163" s="268" t="s">
        <v>4200</v>
      </c>
      <c r="AA163" s="268" t="s">
        <v>4359</v>
      </c>
      <c r="AB163" s="268" t="s">
        <v>4189</v>
      </c>
      <c r="AC163" s="268" t="s">
        <v>4388</v>
      </c>
      <c r="AD163" s="268" t="s">
        <v>4393</v>
      </c>
      <c r="AE163" s="268" t="s">
        <v>4172</v>
      </c>
      <c r="AF163" s="268" t="s">
        <v>4364</v>
      </c>
      <c r="AG163" s="268" t="s">
        <v>4190</v>
      </c>
      <c r="AH163" s="268" t="s">
        <v>4201</v>
      </c>
      <c r="AI163" s="268" t="s">
        <v>4191</v>
      </c>
      <c r="AJ163" s="268" t="s">
        <v>4185</v>
      </c>
      <c r="AK163" s="268" t="s">
        <v>4202</v>
      </c>
      <c r="AL163" s="268" t="s">
        <v>4371</v>
      </c>
      <c r="AM163" s="268" t="s">
        <v>4171</v>
      </c>
      <c r="AN163" s="268" t="s">
        <v>4192</v>
      </c>
      <c r="AO163" s="268" t="s">
        <v>4203</v>
      </c>
      <c r="AP163" s="268" t="s">
        <v>4377</v>
      </c>
      <c r="AQ163" s="268" t="s">
        <v>4204</v>
      </c>
      <c r="AR163" s="268" t="s">
        <v>4180</v>
      </c>
      <c r="AS163" s="268" t="s">
        <v>4173</v>
      </c>
    </row>
    <row r="164" spans="7:45" x14ac:dyDescent="0.2">
      <c r="G164" s="174" t="s">
        <v>4404</v>
      </c>
      <c r="H164" s="174" t="s">
        <v>4405</v>
      </c>
      <c r="I164" s="174" t="s">
        <v>4405</v>
      </c>
      <c r="J164" s="174" t="s">
        <v>4405</v>
      </c>
      <c r="K164" s="174" t="s">
        <v>4405</v>
      </c>
      <c r="L164" s="174" t="s">
        <v>4405</v>
      </c>
      <c r="M164" s="174" t="s">
        <v>4405</v>
      </c>
      <c r="N164" s="174" t="s">
        <v>4405</v>
      </c>
      <c r="O164" s="174" t="s">
        <v>4406</v>
      </c>
      <c r="P164" s="174" t="s">
        <v>4405</v>
      </c>
      <c r="Q164" s="174" t="s">
        <v>4405</v>
      </c>
      <c r="R164" s="174" t="s">
        <v>4405</v>
      </c>
      <c r="S164" s="174" t="s">
        <v>4405</v>
      </c>
      <c r="T164" s="174" t="s">
        <v>4406</v>
      </c>
      <c r="U164" s="174" t="s">
        <v>4406</v>
      </c>
      <c r="V164" s="174" t="s">
        <v>4406</v>
      </c>
      <c r="W164" s="174" t="s">
        <v>4405</v>
      </c>
      <c r="X164" s="174" t="s">
        <v>4405</v>
      </c>
      <c r="Y164" s="174" t="s">
        <v>4405</v>
      </c>
      <c r="Z164" s="174" t="s">
        <v>4405</v>
      </c>
      <c r="AA164" s="174" t="s">
        <v>4405</v>
      </c>
      <c r="AB164" s="174" t="s">
        <v>4405</v>
      </c>
      <c r="AC164" s="174" t="s">
        <v>4405</v>
      </c>
      <c r="AD164" s="174" t="s">
        <v>4406</v>
      </c>
      <c r="AE164" s="174" t="s">
        <v>4405</v>
      </c>
      <c r="AF164" s="174" t="s">
        <v>4405</v>
      </c>
      <c r="AG164" s="174" t="s">
        <v>4405</v>
      </c>
      <c r="AH164" s="174" t="s">
        <v>4405</v>
      </c>
      <c r="AI164" s="174" t="s">
        <v>4405</v>
      </c>
      <c r="AJ164" s="174" t="s">
        <v>4406</v>
      </c>
      <c r="AK164" s="174" t="s">
        <v>4405</v>
      </c>
      <c r="AL164" s="174" t="s">
        <v>4406</v>
      </c>
      <c r="AM164" s="174" t="s">
        <v>4405</v>
      </c>
      <c r="AN164" s="174" t="s">
        <v>4405</v>
      </c>
      <c r="AO164" s="174" t="s">
        <v>4405</v>
      </c>
      <c r="AP164" s="174" t="s">
        <v>4405</v>
      </c>
      <c r="AQ164" s="174" t="s">
        <v>4405</v>
      </c>
      <c r="AR164" s="174" t="s">
        <v>4405</v>
      </c>
      <c r="AS164" s="174" t="s">
        <v>4405</v>
      </c>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Roman,Normaali"&amp;12&amp;A</oddHeader>
    <oddFooter>&amp;C&amp;"Times New Roman,Normaali"&amp;12Sivu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6"/>
  <sheetViews>
    <sheetView workbookViewId="0">
      <selection activeCell="E165" sqref="E165:H188"/>
    </sheetView>
  </sheetViews>
  <sheetFormatPr defaultColWidth="11.5703125" defaultRowHeight="9.75" x14ac:dyDescent="0.2"/>
  <cols>
    <col min="1" max="1" width="28.5703125" style="174" customWidth="1"/>
    <col min="2" max="2" width="5.28515625" style="174" customWidth="1"/>
    <col min="3" max="3" width="37.7109375" style="190" bestFit="1" customWidth="1"/>
    <col min="4" max="5" width="16.7109375" style="174" customWidth="1"/>
    <col min="6" max="6" width="5.28515625" style="174" customWidth="1"/>
    <col min="7" max="7" width="16.140625" style="174" bestFit="1" customWidth="1"/>
    <col min="8" max="16384" width="11.5703125" style="174"/>
  </cols>
  <sheetData>
    <row r="1" spans="1:8" x14ac:dyDescent="0.2">
      <c r="A1" s="174" t="s">
        <v>3554</v>
      </c>
      <c r="B1" s="174" t="s">
        <v>339</v>
      </c>
      <c r="C1" s="190" t="s">
        <v>3555</v>
      </c>
      <c r="D1" s="174" t="s">
        <v>3556</v>
      </c>
      <c r="E1" s="174" t="s">
        <v>3557</v>
      </c>
      <c r="F1" s="174" t="s">
        <v>339</v>
      </c>
      <c r="G1" s="174" t="s">
        <v>3555</v>
      </c>
      <c r="H1" s="174" t="s">
        <v>3556</v>
      </c>
    </row>
    <row r="2" spans="1:8" x14ac:dyDescent="0.2">
      <c r="A2" s="185" t="s">
        <v>345</v>
      </c>
      <c r="B2" s="174" t="s">
        <v>345</v>
      </c>
      <c r="C2" s="190" t="s">
        <v>345</v>
      </c>
      <c r="D2" s="174" t="s">
        <v>345</v>
      </c>
      <c r="E2" s="185" t="s">
        <v>345</v>
      </c>
      <c r="F2" s="174" t="s">
        <v>345</v>
      </c>
    </row>
    <row r="3" spans="1:8" x14ac:dyDescent="0.2">
      <c r="A3" s="182" t="s">
        <v>3558</v>
      </c>
      <c r="E3" s="182" t="s">
        <v>3559</v>
      </c>
    </row>
    <row r="4" spans="1:8" x14ac:dyDescent="0.2">
      <c r="A4" s="174" t="s">
        <v>3560</v>
      </c>
      <c r="B4" s="174">
        <v>7</v>
      </c>
      <c r="C4" s="190" t="s">
        <v>3561</v>
      </c>
      <c r="D4" s="174" t="s">
        <v>3562</v>
      </c>
      <c r="E4" s="174" t="s">
        <v>3563</v>
      </c>
      <c r="F4" s="174">
        <v>-10</v>
      </c>
      <c r="H4" s="174" t="s">
        <v>3559</v>
      </c>
    </row>
    <row r="5" spans="1:8" x14ac:dyDescent="0.2">
      <c r="A5" s="174" t="s">
        <v>3564</v>
      </c>
      <c r="B5" s="174">
        <v>6</v>
      </c>
      <c r="D5" s="174" t="s">
        <v>3562</v>
      </c>
      <c r="E5" s="174" t="s">
        <v>3565</v>
      </c>
      <c r="F5" s="174">
        <v>-10</v>
      </c>
      <c r="H5" s="174" t="s">
        <v>3559</v>
      </c>
    </row>
    <row r="6" spans="1:8" x14ac:dyDescent="0.2">
      <c r="A6" s="174" t="s">
        <v>3566</v>
      </c>
      <c r="B6" s="174">
        <v>10</v>
      </c>
      <c r="C6" s="190" t="s">
        <v>3567</v>
      </c>
      <c r="D6" s="174" t="s">
        <v>3562</v>
      </c>
      <c r="E6" s="174" t="s">
        <v>3568</v>
      </c>
      <c r="F6" s="174">
        <v>-5</v>
      </c>
      <c r="H6" s="174" t="s">
        <v>3559</v>
      </c>
    </row>
    <row r="7" spans="1:8" x14ac:dyDescent="0.2">
      <c r="A7" s="174" t="s">
        <v>3569</v>
      </c>
      <c r="B7" s="174">
        <v>30</v>
      </c>
      <c r="C7" s="190" t="s">
        <v>3570</v>
      </c>
      <c r="D7" s="174" t="s">
        <v>3562</v>
      </c>
      <c r="E7" s="174" t="s">
        <v>3571</v>
      </c>
      <c r="F7" s="174">
        <v>-3</v>
      </c>
      <c r="H7" s="174" t="s">
        <v>3559</v>
      </c>
    </row>
    <row r="8" spans="1:8" x14ac:dyDescent="0.2">
      <c r="A8" s="174" t="s">
        <v>3572</v>
      </c>
      <c r="B8" s="174">
        <v>8</v>
      </c>
      <c r="C8" s="190" t="s">
        <v>3573</v>
      </c>
      <c r="D8" s="174" t="s">
        <v>3562</v>
      </c>
      <c r="E8" s="174" t="s">
        <v>3574</v>
      </c>
      <c r="F8" s="174">
        <v>-50</v>
      </c>
      <c r="H8" s="174" t="s">
        <v>3559</v>
      </c>
    </row>
    <row r="9" spans="1:8" x14ac:dyDescent="0.2">
      <c r="A9" s="174" t="s">
        <v>355</v>
      </c>
      <c r="B9" s="174">
        <v>8</v>
      </c>
      <c r="C9" s="190" t="s">
        <v>3575</v>
      </c>
      <c r="D9" s="174" t="s">
        <v>3562</v>
      </c>
      <c r="E9" s="174" t="s">
        <v>3576</v>
      </c>
      <c r="F9" s="174">
        <v>-20</v>
      </c>
      <c r="H9" s="174" t="s">
        <v>3559</v>
      </c>
    </row>
    <row r="10" spans="1:8" x14ac:dyDescent="0.2">
      <c r="A10" s="174" t="s">
        <v>3577</v>
      </c>
      <c r="B10" s="174">
        <v>5</v>
      </c>
      <c r="C10" s="190" t="s">
        <v>3578</v>
      </c>
      <c r="D10" s="174" t="s">
        <v>3562</v>
      </c>
      <c r="E10" s="174" t="s">
        <v>3579</v>
      </c>
      <c r="F10" s="174">
        <v>-10</v>
      </c>
      <c r="H10" s="174" t="s">
        <v>3559</v>
      </c>
    </row>
    <row r="11" spans="1:8" x14ac:dyDescent="0.2">
      <c r="A11" s="174" t="s">
        <v>3580</v>
      </c>
      <c r="B11" s="174">
        <v>20</v>
      </c>
      <c r="C11" s="190" t="s">
        <v>3581</v>
      </c>
      <c r="D11" s="174" t="s">
        <v>3562</v>
      </c>
      <c r="E11" s="174" t="s">
        <v>3582</v>
      </c>
      <c r="F11" s="174">
        <v>-5</v>
      </c>
      <c r="H11" s="174" t="s">
        <v>3559</v>
      </c>
    </row>
    <row r="12" spans="1:8" x14ac:dyDescent="0.2">
      <c r="A12" s="174" t="s">
        <v>3583</v>
      </c>
      <c r="B12" s="174">
        <v>6</v>
      </c>
      <c r="C12" s="190" t="s">
        <v>3584</v>
      </c>
      <c r="D12" s="174" t="s">
        <v>3562</v>
      </c>
      <c r="E12" s="174" t="s">
        <v>3585</v>
      </c>
      <c r="F12" s="174">
        <v>-10</v>
      </c>
      <c r="H12" s="174" t="s">
        <v>3559</v>
      </c>
    </row>
    <row r="13" spans="1:8" x14ac:dyDescent="0.2">
      <c r="A13" s="174" t="s">
        <v>3586</v>
      </c>
      <c r="B13" s="174">
        <v>15</v>
      </c>
      <c r="D13" s="174" t="s">
        <v>3562</v>
      </c>
      <c r="E13" s="174" t="s">
        <v>3587</v>
      </c>
      <c r="F13" s="174">
        <v>-15</v>
      </c>
      <c r="H13" s="174" t="s">
        <v>3559</v>
      </c>
    </row>
    <row r="14" spans="1:8" x14ac:dyDescent="0.2">
      <c r="A14" s="174" t="s">
        <v>3588</v>
      </c>
      <c r="B14" s="174">
        <v>10</v>
      </c>
      <c r="C14" s="190" t="s">
        <v>3589</v>
      </c>
      <c r="D14" s="174" t="s">
        <v>3562</v>
      </c>
      <c r="E14" s="174" t="s">
        <v>3590</v>
      </c>
      <c r="F14" s="174">
        <v>-5</v>
      </c>
      <c r="H14" s="174" t="s">
        <v>3559</v>
      </c>
    </row>
    <row r="15" spans="1:8" x14ac:dyDescent="0.2">
      <c r="A15" s="174" t="s">
        <v>3591</v>
      </c>
      <c r="B15" s="174">
        <v>15</v>
      </c>
      <c r="D15" s="174" t="s">
        <v>3562</v>
      </c>
      <c r="E15" s="174" t="s">
        <v>3592</v>
      </c>
      <c r="F15" s="174">
        <v>-15</v>
      </c>
      <c r="H15" s="174" t="s">
        <v>3559</v>
      </c>
    </row>
    <row r="16" spans="1:8" x14ac:dyDescent="0.2">
      <c r="A16" s="174" t="s">
        <v>3593</v>
      </c>
      <c r="B16" s="174">
        <v>5</v>
      </c>
      <c r="C16" s="190" t="s">
        <v>3594</v>
      </c>
      <c r="D16" s="174" t="s">
        <v>3562</v>
      </c>
      <c r="E16" s="174" t="s">
        <v>3595</v>
      </c>
      <c r="F16" s="174">
        <v>-25</v>
      </c>
      <c r="H16" s="174" t="s">
        <v>3559</v>
      </c>
    </row>
    <row r="17" spans="1:8" x14ac:dyDescent="0.2">
      <c r="A17" s="174" t="s">
        <v>3596</v>
      </c>
      <c r="B17" s="174">
        <v>5</v>
      </c>
      <c r="D17" s="174" t="s">
        <v>3562</v>
      </c>
      <c r="E17" s="174" t="s">
        <v>3597</v>
      </c>
      <c r="F17" s="174">
        <v>-35</v>
      </c>
      <c r="H17" s="174" t="s">
        <v>3559</v>
      </c>
    </row>
    <row r="18" spans="1:8" x14ac:dyDescent="0.2">
      <c r="A18" s="174" t="s">
        <v>3598</v>
      </c>
      <c r="B18" s="174">
        <v>30</v>
      </c>
      <c r="C18" s="190" t="s">
        <v>4150</v>
      </c>
      <c r="D18" s="174" t="s">
        <v>3562</v>
      </c>
      <c r="E18" s="174" t="s">
        <v>3599</v>
      </c>
      <c r="F18" s="174">
        <v>-20</v>
      </c>
      <c r="H18" s="174" t="s">
        <v>3559</v>
      </c>
    </row>
    <row r="19" spans="1:8" x14ac:dyDescent="0.2">
      <c r="A19" s="174" t="s">
        <v>3600</v>
      </c>
      <c r="B19" s="174">
        <v>5</v>
      </c>
      <c r="D19" s="174" t="s">
        <v>3562</v>
      </c>
      <c r="E19" s="174" t="s">
        <v>3601</v>
      </c>
      <c r="F19" s="174">
        <v>-10</v>
      </c>
      <c r="H19" s="174" t="s">
        <v>3559</v>
      </c>
    </row>
    <row r="20" spans="1:8" x14ac:dyDescent="0.2">
      <c r="A20" s="174" t="s">
        <v>3602</v>
      </c>
      <c r="B20" s="174">
        <v>10</v>
      </c>
      <c r="C20" s="190" t="s">
        <v>4151</v>
      </c>
      <c r="D20" s="174" t="s">
        <v>3562</v>
      </c>
      <c r="E20" s="174" t="s">
        <v>3604</v>
      </c>
      <c r="F20" s="174">
        <v>-30</v>
      </c>
      <c r="H20" s="174" t="s">
        <v>3559</v>
      </c>
    </row>
    <row r="21" spans="1:8" x14ac:dyDescent="0.2">
      <c r="A21" s="174" t="s">
        <v>3605</v>
      </c>
      <c r="B21" s="174">
        <v>20</v>
      </c>
      <c r="C21" s="190" t="s">
        <v>3603</v>
      </c>
      <c r="D21" s="174" t="s">
        <v>3562</v>
      </c>
      <c r="E21" s="174" t="s">
        <v>3607</v>
      </c>
      <c r="F21" s="174">
        <v>-5</v>
      </c>
      <c r="H21" s="174" t="s">
        <v>3559</v>
      </c>
    </row>
    <row r="22" spans="1:8" x14ac:dyDescent="0.2">
      <c r="A22" s="174" t="s">
        <v>3610</v>
      </c>
      <c r="B22" s="174">
        <v>5</v>
      </c>
      <c r="D22" s="174" t="s">
        <v>3562</v>
      </c>
      <c r="E22" s="174" t="s">
        <v>3609</v>
      </c>
      <c r="F22" s="174">
        <v>-5</v>
      </c>
      <c r="H22" s="174" t="s">
        <v>3559</v>
      </c>
    </row>
    <row r="23" spans="1:8" x14ac:dyDescent="0.2">
      <c r="A23" s="174" t="s">
        <v>3612</v>
      </c>
      <c r="B23" s="174">
        <v>7</v>
      </c>
      <c r="D23" s="174" t="s">
        <v>3562</v>
      </c>
      <c r="E23" s="174" t="s">
        <v>3611</v>
      </c>
      <c r="F23" s="174">
        <v>-10</v>
      </c>
      <c r="H23" s="174" t="s">
        <v>3559</v>
      </c>
    </row>
    <row r="24" spans="1:8" x14ac:dyDescent="0.2">
      <c r="A24" s="174" t="s">
        <v>3614</v>
      </c>
      <c r="B24" s="174">
        <v>7</v>
      </c>
      <c r="C24" s="190" t="s">
        <v>3615</v>
      </c>
      <c r="D24" s="174" t="s">
        <v>3562</v>
      </c>
      <c r="E24" s="174" t="s">
        <v>3613</v>
      </c>
      <c r="F24" s="174">
        <v>-10</v>
      </c>
      <c r="H24" s="174" t="s">
        <v>3559</v>
      </c>
    </row>
    <row r="25" spans="1:8" x14ac:dyDescent="0.2">
      <c r="A25" s="174" t="s">
        <v>3617</v>
      </c>
      <c r="B25" s="174">
        <v>5</v>
      </c>
      <c r="C25" s="190" t="s">
        <v>3618</v>
      </c>
      <c r="D25" s="174" t="s">
        <v>3562</v>
      </c>
      <c r="E25" s="174" t="s">
        <v>3616</v>
      </c>
      <c r="F25" s="174">
        <v>-15</v>
      </c>
      <c r="H25" s="174" t="s">
        <v>3559</v>
      </c>
    </row>
    <row r="26" spans="1:8" x14ac:dyDescent="0.2">
      <c r="A26" s="174" t="s">
        <v>3620</v>
      </c>
      <c r="B26" s="174">
        <v>10</v>
      </c>
      <c r="C26" s="190" t="s">
        <v>3621</v>
      </c>
      <c r="D26" s="174" t="s">
        <v>3562</v>
      </c>
      <c r="E26" s="174" t="s">
        <v>3619</v>
      </c>
      <c r="F26" s="174">
        <v>-5</v>
      </c>
      <c r="H26" s="174" t="s">
        <v>3559</v>
      </c>
    </row>
    <row r="27" spans="1:8" x14ac:dyDescent="0.2">
      <c r="A27" s="174" t="s">
        <v>3623</v>
      </c>
      <c r="B27" s="174">
        <v>15</v>
      </c>
      <c r="C27" s="190" t="s">
        <v>3624</v>
      </c>
      <c r="D27" s="174" t="s">
        <v>3562</v>
      </c>
      <c r="E27" s="174" t="s">
        <v>3622</v>
      </c>
      <c r="F27" s="174">
        <v>-15</v>
      </c>
      <c r="H27" s="174" t="s">
        <v>3559</v>
      </c>
    </row>
    <row r="28" spans="1:8" x14ac:dyDescent="0.2">
      <c r="A28" s="174" t="s">
        <v>3626</v>
      </c>
      <c r="B28" s="174">
        <v>20</v>
      </c>
      <c r="C28" s="190" t="s">
        <v>3627</v>
      </c>
      <c r="D28" s="174" t="s">
        <v>3562</v>
      </c>
      <c r="E28" s="174" t="s">
        <v>3625</v>
      </c>
      <c r="F28" s="174">
        <v>-10</v>
      </c>
      <c r="H28" s="174" t="s">
        <v>3559</v>
      </c>
    </row>
    <row r="29" spans="1:8" x14ac:dyDescent="0.2">
      <c r="A29" s="174" t="s">
        <v>3629</v>
      </c>
      <c r="B29" s="174">
        <v>3</v>
      </c>
      <c r="D29" s="174" t="s">
        <v>3562</v>
      </c>
      <c r="E29" s="174" t="s">
        <v>3628</v>
      </c>
      <c r="F29" s="174">
        <v>-10</v>
      </c>
      <c r="H29" s="174" t="s">
        <v>3559</v>
      </c>
    </row>
    <row r="30" spans="1:8" x14ac:dyDescent="0.2">
      <c r="A30" s="174" t="s">
        <v>3631</v>
      </c>
      <c r="B30" s="174">
        <v>5</v>
      </c>
      <c r="D30" s="174" t="s">
        <v>3562</v>
      </c>
      <c r="E30" s="174" t="s">
        <v>3630</v>
      </c>
      <c r="F30" s="174">
        <v>-25</v>
      </c>
      <c r="H30" s="174" t="s">
        <v>3559</v>
      </c>
    </row>
    <row r="31" spans="1:8" x14ac:dyDescent="0.2">
      <c r="A31" s="174" t="s">
        <v>3633</v>
      </c>
      <c r="B31" s="174">
        <v>7</v>
      </c>
      <c r="C31" s="190" t="s">
        <v>3634</v>
      </c>
      <c r="D31" s="174" t="s">
        <v>3562</v>
      </c>
      <c r="E31" s="174" t="s">
        <v>3632</v>
      </c>
      <c r="F31" s="174">
        <v>-10</v>
      </c>
      <c r="H31" s="174" t="s">
        <v>3559</v>
      </c>
    </row>
    <row r="32" spans="1:8" x14ac:dyDescent="0.2">
      <c r="A32" s="174" t="s">
        <v>3636</v>
      </c>
      <c r="B32" s="174">
        <v>7</v>
      </c>
      <c r="C32" s="190" t="s">
        <v>3637</v>
      </c>
      <c r="D32" s="174" t="s">
        <v>3562</v>
      </c>
      <c r="E32" s="174" t="s">
        <v>3635</v>
      </c>
      <c r="F32" s="174">
        <v>-15</v>
      </c>
      <c r="H32" s="174" t="s">
        <v>3559</v>
      </c>
    </row>
    <row r="33" spans="1:8" x14ac:dyDescent="0.2">
      <c r="A33" s="174" t="s">
        <v>3639</v>
      </c>
      <c r="B33" s="174">
        <v>3</v>
      </c>
      <c r="C33" s="190" t="s">
        <v>3640</v>
      </c>
      <c r="D33" s="174" t="s">
        <v>3562</v>
      </c>
      <c r="E33" s="174" t="s">
        <v>3638</v>
      </c>
      <c r="F33" s="174">
        <v>-10</v>
      </c>
      <c r="H33" s="174" t="s">
        <v>3559</v>
      </c>
    </row>
    <row r="34" spans="1:8" x14ac:dyDescent="0.2">
      <c r="A34" s="174" t="s">
        <v>3642</v>
      </c>
      <c r="B34" s="174">
        <v>12</v>
      </c>
      <c r="D34" s="174" t="s">
        <v>3562</v>
      </c>
      <c r="E34" s="174" t="s">
        <v>3641</v>
      </c>
      <c r="F34" s="174">
        <v>-15</v>
      </c>
      <c r="H34" s="174" t="s">
        <v>3559</v>
      </c>
    </row>
    <row r="35" spans="1:8" x14ac:dyDescent="0.2">
      <c r="A35" s="174" t="s">
        <v>3644</v>
      </c>
      <c r="B35" s="174">
        <v>10</v>
      </c>
      <c r="C35" s="190" t="s">
        <v>4153</v>
      </c>
      <c r="D35" s="174" t="s">
        <v>3562</v>
      </c>
      <c r="E35" s="174" t="s">
        <v>3643</v>
      </c>
      <c r="F35" s="174">
        <v>-15</v>
      </c>
      <c r="H35" s="174" t="s">
        <v>3559</v>
      </c>
    </row>
    <row r="36" spans="1:8" x14ac:dyDescent="0.2">
      <c r="A36" s="174" t="s">
        <v>3647</v>
      </c>
      <c r="B36" s="174">
        <v>15</v>
      </c>
      <c r="C36" s="190" t="s">
        <v>3645</v>
      </c>
      <c r="D36" s="174" t="s">
        <v>3562</v>
      </c>
      <c r="E36" s="174" t="s">
        <v>3646</v>
      </c>
      <c r="F36" s="174">
        <v>-20</v>
      </c>
      <c r="H36" s="174" t="s">
        <v>3559</v>
      </c>
    </row>
    <row r="37" spans="1:8" x14ac:dyDescent="0.2">
      <c r="A37" s="174" t="s">
        <v>3649</v>
      </c>
      <c r="B37" s="174">
        <v>30</v>
      </c>
      <c r="C37" s="190" t="s">
        <v>4152</v>
      </c>
      <c r="D37" s="174" t="s">
        <v>3562</v>
      </c>
      <c r="E37" s="174" t="s">
        <v>3648</v>
      </c>
      <c r="F37" s="174">
        <v>-15</v>
      </c>
      <c r="H37" s="174" t="s">
        <v>3559</v>
      </c>
    </row>
    <row r="38" spans="1:8" x14ac:dyDescent="0.2">
      <c r="A38" s="174" t="s">
        <v>3651</v>
      </c>
      <c r="B38" s="174">
        <v>10</v>
      </c>
      <c r="C38" s="190" t="s">
        <v>3652</v>
      </c>
      <c r="D38" s="174" t="s">
        <v>3562</v>
      </c>
      <c r="E38" s="174" t="s">
        <v>3650</v>
      </c>
      <c r="F38" s="174">
        <v>-15</v>
      </c>
      <c r="H38" s="174" t="s">
        <v>3559</v>
      </c>
    </row>
    <row r="39" spans="1:8" x14ac:dyDescent="0.2">
      <c r="A39" s="174" t="s">
        <v>3653</v>
      </c>
      <c r="B39" s="174">
        <v>8</v>
      </c>
      <c r="C39" s="190" t="s">
        <v>3654</v>
      </c>
      <c r="D39" s="174" t="s">
        <v>3562</v>
      </c>
      <c r="E39" s="174" t="s">
        <v>3655</v>
      </c>
      <c r="F39" s="174">
        <v>-10</v>
      </c>
      <c r="H39" s="174" t="s">
        <v>3559</v>
      </c>
    </row>
    <row r="40" spans="1:8" x14ac:dyDescent="0.2">
      <c r="A40" s="174" t="s">
        <v>3656</v>
      </c>
      <c r="B40" s="174">
        <v>25</v>
      </c>
      <c r="D40" s="174" t="s">
        <v>3562</v>
      </c>
      <c r="E40" s="174" t="s">
        <v>3657</v>
      </c>
      <c r="F40" s="174">
        <v>-20</v>
      </c>
      <c r="H40" s="174" t="s">
        <v>3559</v>
      </c>
    </row>
    <row r="41" spans="1:8" x14ac:dyDescent="0.2">
      <c r="A41" s="174" t="s">
        <v>3658</v>
      </c>
      <c r="B41" s="174">
        <v>10</v>
      </c>
      <c r="D41" s="174" t="s">
        <v>3562</v>
      </c>
      <c r="E41" s="174" t="s">
        <v>3660</v>
      </c>
      <c r="F41" s="174">
        <v>-5</v>
      </c>
      <c r="H41" s="174" t="s">
        <v>3559</v>
      </c>
    </row>
    <row r="42" spans="1:8" x14ac:dyDescent="0.2">
      <c r="A42" s="174" t="s">
        <v>3659</v>
      </c>
      <c r="B42" s="174">
        <v>30</v>
      </c>
      <c r="D42" s="174" t="s">
        <v>3562</v>
      </c>
      <c r="E42" s="174" t="s">
        <v>3663</v>
      </c>
      <c r="F42" s="174">
        <v>-5</v>
      </c>
      <c r="H42" s="174" t="s">
        <v>3559</v>
      </c>
    </row>
    <row r="43" spans="1:8" x14ac:dyDescent="0.2">
      <c r="A43" s="174" t="s">
        <v>3661</v>
      </c>
      <c r="B43" s="174">
        <v>10</v>
      </c>
      <c r="C43" s="190" t="s">
        <v>3662</v>
      </c>
      <c r="D43" s="174" t="s">
        <v>3562</v>
      </c>
      <c r="E43" s="174" t="s">
        <v>3666</v>
      </c>
      <c r="F43" s="174">
        <v>-10</v>
      </c>
      <c r="H43" s="174" t="s">
        <v>3559</v>
      </c>
    </row>
    <row r="44" spans="1:8" x14ac:dyDescent="0.2">
      <c r="A44" s="174" t="s">
        <v>3664</v>
      </c>
      <c r="B44" s="174">
        <v>6</v>
      </c>
      <c r="C44" s="190" t="s">
        <v>3665</v>
      </c>
      <c r="D44" s="174" t="s">
        <v>3562</v>
      </c>
      <c r="E44" s="174" t="s">
        <v>3666</v>
      </c>
      <c r="F44" s="174">
        <v>-15</v>
      </c>
      <c r="H44" s="174" t="s">
        <v>3559</v>
      </c>
    </row>
    <row r="45" spans="1:8" x14ac:dyDescent="0.2">
      <c r="A45" s="174" t="s">
        <v>3667</v>
      </c>
      <c r="B45" s="174">
        <v>12</v>
      </c>
      <c r="D45" s="174" t="s">
        <v>3562</v>
      </c>
      <c r="E45" s="174" t="s">
        <v>3669</v>
      </c>
      <c r="F45" s="174">
        <v>-20</v>
      </c>
      <c r="H45" s="174" t="s">
        <v>3559</v>
      </c>
    </row>
    <row r="46" spans="1:8" x14ac:dyDescent="0.2">
      <c r="A46" s="174" t="s">
        <v>3668</v>
      </c>
      <c r="B46" s="174">
        <v>3</v>
      </c>
      <c r="D46" s="174" t="s">
        <v>3562</v>
      </c>
      <c r="E46" s="174" t="s">
        <v>3671</v>
      </c>
      <c r="F46" s="174">
        <v>-7</v>
      </c>
      <c r="H46" s="174" t="s">
        <v>3559</v>
      </c>
    </row>
    <row r="47" spans="1:8" x14ac:dyDescent="0.2">
      <c r="A47" s="174" t="s">
        <v>4154</v>
      </c>
      <c r="B47" s="174">
        <v>5</v>
      </c>
      <c r="C47" s="190" t="s">
        <v>3670</v>
      </c>
      <c r="D47" s="174" t="s">
        <v>3562</v>
      </c>
      <c r="E47" s="174" t="s">
        <v>3673</v>
      </c>
      <c r="F47" s="174">
        <v>-12</v>
      </c>
      <c r="G47" s="174" t="s">
        <v>3674</v>
      </c>
      <c r="H47" s="174" t="s">
        <v>3559</v>
      </c>
    </row>
    <row r="48" spans="1:8" x14ac:dyDescent="0.2">
      <c r="A48" s="174" t="s">
        <v>4155</v>
      </c>
      <c r="B48" s="174">
        <v>10</v>
      </c>
      <c r="C48" s="190" t="s">
        <v>3672</v>
      </c>
      <c r="D48" s="174" t="s">
        <v>3562</v>
      </c>
      <c r="E48" s="174" t="s">
        <v>3675</v>
      </c>
      <c r="F48" s="174">
        <v>-10</v>
      </c>
      <c r="H48" s="174" t="s">
        <v>3559</v>
      </c>
    </row>
    <row r="49" spans="1:8" x14ac:dyDescent="0.2">
      <c r="A49" s="174" t="s">
        <v>4156</v>
      </c>
      <c r="B49" s="174">
        <v>15</v>
      </c>
      <c r="C49" s="190" t="s">
        <v>4157</v>
      </c>
      <c r="D49" s="174" t="s">
        <v>3562</v>
      </c>
      <c r="E49" s="174" t="s">
        <v>3676</v>
      </c>
      <c r="F49" s="174">
        <v>-10</v>
      </c>
      <c r="H49" s="174" t="s">
        <v>3559</v>
      </c>
    </row>
    <row r="50" spans="1:8" x14ac:dyDescent="0.2">
      <c r="D50" s="174" t="s">
        <v>3562</v>
      </c>
      <c r="E50" s="174" t="s">
        <v>3678</v>
      </c>
      <c r="F50" s="174">
        <v>-10</v>
      </c>
      <c r="H50" s="174" t="s">
        <v>3559</v>
      </c>
    </row>
    <row r="51" spans="1:8" x14ac:dyDescent="0.2">
      <c r="A51" s="174" t="s">
        <v>3677</v>
      </c>
      <c r="B51" s="174">
        <v>15</v>
      </c>
      <c r="C51" s="190" t="s">
        <v>4158</v>
      </c>
      <c r="D51" s="174" t="s">
        <v>3562</v>
      </c>
      <c r="E51" s="174" t="s">
        <v>3680</v>
      </c>
      <c r="F51" s="174">
        <v>-7</v>
      </c>
      <c r="H51" s="174" t="s">
        <v>3559</v>
      </c>
    </row>
    <row r="52" spans="1:8" x14ac:dyDescent="0.2">
      <c r="A52" s="174" t="s">
        <v>3679</v>
      </c>
      <c r="B52" s="174">
        <v>25</v>
      </c>
      <c r="C52" s="190" t="s">
        <v>4158</v>
      </c>
      <c r="D52" s="174" t="s">
        <v>3562</v>
      </c>
      <c r="E52" s="174" t="s">
        <v>3682</v>
      </c>
      <c r="F52" s="174">
        <v>-5</v>
      </c>
      <c r="H52" s="174" t="s">
        <v>3559</v>
      </c>
    </row>
    <row r="53" spans="1:8" x14ac:dyDescent="0.2">
      <c r="A53" s="174" t="s">
        <v>3681</v>
      </c>
      <c r="B53" s="174">
        <v>7</v>
      </c>
      <c r="D53" s="174" t="s">
        <v>3562</v>
      </c>
      <c r="E53" s="174" t="s">
        <v>3684</v>
      </c>
      <c r="F53" s="174">
        <v>-10</v>
      </c>
      <c r="H53" s="174" t="s">
        <v>3559</v>
      </c>
    </row>
    <row r="54" spans="1:8" x14ac:dyDescent="0.2">
      <c r="A54" s="174" t="s">
        <v>4138</v>
      </c>
      <c r="B54" s="174">
        <v>5</v>
      </c>
      <c r="C54" s="190" t="s">
        <v>4139</v>
      </c>
      <c r="D54" s="174" t="s">
        <v>3562</v>
      </c>
      <c r="E54" s="174" t="s">
        <v>3686</v>
      </c>
      <c r="F54" s="174">
        <v>-7</v>
      </c>
      <c r="H54" s="174" t="s">
        <v>3559</v>
      </c>
    </row>
    <row r="55" spans="1:8" x14ac:dyDescent="0.2">
      <c r="A55" s="174" t="s">
        <v>3683</v>
      </c>
      <c r="B55" s="174">
        <v>5</v>
      </c>
      <c r="C55" s="190" t="s">
        <v>4159</v>
      </c>
      <c r="D55" s="174" t="s">
        <v>3562</v>
      </c>
      <c r="E55" s="174" t="s">
        <v>3688</v>
      </c>
      <c r="F55" s="174">
        <v>-10</v>
      </c>
      <c r="H55" s="174" t="s">
        <v>3559</v>
      </c>
    </row>
    <row r="56" spans="1:8" x14ac:dyDescent="0.2">
      <c r="A56" s="174" t="s">
        <v>3685</v>
      </c>
      <c r="B56" s="174">
        <v>10</v>
      </c>
      <c r="C56" s="190" t="s">
        <v>4160</v>
      </c>
      <c r="D56" s="174" t="s">
        <v>3562</v>
      </c>
      <c r="E56" s="174" t="s">
        <v>3690</v>
      </c>
      <c r="F56" s="174">
        <v>-5</v>
      </c>
      <c r="H56" s="174" t="s">
        <v>3559</v>
      </c>
    </row>
    <row r="57" spans="1:8" x14ac:dyDescent="0.2">
      <c r="A57" s="174" t="s">
        <v>3687</v>
      </c>
      <c r="B57" s="174">
        <v>13</v>
      </c>
      <c r="D57" s="174" t="s">
        <v>3562</v>
      </c>
      <c r="E57" s="174" t="s">
        <v>3692</v>
      </c>
      <c r="F57" s="174">
        <v>-10</v>
      </c>
      <c r="H57" s="174" t="s">
        <v>3559</v>
      </c>
    </row>
    <row r="58" spans="1:8" x14ac:dyDescent="0.2">
      <c r="A58" s="174" t="s">
        <v>3689</v>
      </c>
      <c r="B58" s="174">
        <v>3</v>
      </c>
      <c r="D58" s="174" t="s">
        <v>3562</v>
      </c>
      <c r="E58" s="174" t="s">
        <v>3694</v>
      </c>
      <c r="F58" s="174">
        <v>-15</v>
      </c>
      <c r="H58" s="174" t="s">
        <v>3559</v>
      </c>
    </row>
    <row r="59" spans="1:8" x14ac:dyDescent="0.2">
      <c r="A59" s="174" t="s">
        <v>3691</v>
      </c>
      <c r="B59" s="174">
        <v>10</v>
      </c>
      <c r="D59" s="174" t="s">
        <v>3562</v>
      </c>
      <c r="E59" s="174" t="s">
        <v>3697</v>
      </c>
      <c r="F59" s="174">
        <v>-15</v>
      </c>
      <c r="H59" s="174" t="s">
        <v>3559</v>
      </c>
    </row>
    <row r="60" spans="1:8" x14ac:dyDescent="0.2">
      <c r="A60" s="174" t="s">
        <v>3693</v>
      </c>
      <c r="B60" s="174">
        <v>8</v>
      </c>
      <c r="D60" s="174" t="s">
        <v>3562</v>
      </c>
      <c r="E60" s="174" t="s">
        <v>3699</v>
      </c>
      <c r="F60" s="174">
        <v>-20</v>
      </c>
      <c r="H60" s="174" t="s">
        <v>3559</v>
      </c>
    </row>
    <row r="61" spans="1:8" x14ac:dyDescent="0.2">
      <c r="A61" s="174" t="s">
        <v>3695</v>
      </c>
      <c r="B61" s="174">
        <v>30</v>
      </c>
      <c r="C61" s="190" t="s">
        <v>3696</v>
      </c>
      <c r="D61" s="174" t="s">
        <v>3562</v>
      </c>
      <c r="E61" s="174" t="s">
        <v>3700</v>
      </c>
      <c r="F61" s="174">
        <v>-12</v>
      </c>
      <c r="H61" s="174" t="s">
        <v>3559</v>
      </c>
    </row>
    <row r="62" spans="1:8" x14ac:dyDescent="0.2">
      <c r="A62" s="174" t="s">
        <v>3698</v>
      </c>
      <c r="B62" s="174">
        <v>10</v>
      </c>
      <c r="D62" s="174" t="s">
        <v>3562</v>
      </c>
      <c r="E62" s="174" t="s">
        <v>3703</v>
      </c>
      <c r="F62" s="174">
        <v>-20</v>
      </c>
      <c r="H62" s="174" t="s">
        <v>3559</v>
      </c>
    </row>
    <row r="63" spans="1:8" x14ac:dyDescent="0.2">
      <c r="A63" s="185" t="s">
        <v>345</v>
      </c>
      <c r="B63" s="174" t="s">
        <v>345</v>
      </c>
      <c r="C63" s="190" t="s">
        <v>345</v>
      </c>
      <c r="D63" s="174" t="s">
        <v>345</v>
      </c>
      <c r="E63" s="174" t="s">
        <v>3706</v>
      </c>
      <c r="F63" s="174">
        <v>-10</v>
      </c>
      <c r="H63" s="174" t="s">
        <v>3559</v>
      </c>
    </row>
    <row r="64" spans="1:8" x14ac:dyDescent="0.2">
      <c r="A64" s="182" t="s">
        <v>3701</v>
      </c>
      <c r="D64" s="174" t="s">
        <v>3702</v>
      </c>
    </row>
    <row r="65" spans="1:8" x14ac:dyDescent="0.2">
      <c r="A65" s="174" t="s">
        <v>3704</v>
      </c>
      <c r="B65" s="174">
        <v>3</v>
      </c>
      <c r="C65" s="190" t="s">
        <v>3705</v>
      </c>
      <c r="D65" s="174" t="s">
        <v>3702</v>
      </c>
      <c r="E65" s="182" t="s">
        <v>3709</v>
      </c>
    </row>
    <row r="66" spans="1:8" x14ac:dyDescent="0.2">
      <c r="A66" s="174" t="s">
        <v>3707</v>
      </c>
      <c r="B66" s="174">
        <v>7</v>
      </c>
      <c r="D66" s="174" t="s">
        <v>3702</v>
      </c>
      <c r="E66" s="174" t="s">
        <v>342</v>
      </c>
      <c r="F66" s="174">
        <v>-10</v>
      </c>
      <c r="H66" s="174" t="s">
        <v>3711</v>
      </c>
    </row>
    <row r="67" spans="1:8" x14ac:dyDescent="0.2">
      <c r="A67" s="174" t="s">
        <v>3708</v>
      </c>
      <c r="B67" s="174">
        <v>10</v>
      </c>
      <c r="D67" s="174" t="s">
        <v>3702</v>
      </c>
      <c r="E67" s="174" t="s">
        <v>3714</v>
      </c>
      <c r="F67" s="174">
        <v>-5</v>
      </c>
      <c r="H67" s="174" t="s">
        <v>3711</v>
      </c>
    </row>
    <row r="68" spans="1:8" x14ac:dyDescent="0.2">
      <c r="A68" s="174" t="s">
        <v>3710</v>
      </c>
      <c r="B68" s="174">
        <v>5</v>
      </c>
      <c r="D68" s="174" t="s">
        <v>3702</v>
      </c>
      <c r="E68" s="174" t="s">
        <v>3716</v>
      </c>
      <c r="F68" s="174">
        <v>-15</v>
      </c>
      <c r="H68" s="174" t="s">
        <v>3711</v>
      </c>
    </row>
    <row r="69" spans="1:8" x14ac:dyDescent="0.2">
      <c r="A69" s="174" t="s">
        <v>3712</v>
      </c>
      <c r="B69" s="174">
        <v>10</v>
      </c>
      <c r="C69" s="190" t="s">
        <v>3713</v>
      </c>
      <c r="D69" s="174" t="s">
        <v>3702</v>
      </c>
      <c r="E69" s="174" t="s">
        <v>3718</v>
      </c>
      <c r="F69" s="174">
        <v>-10</v>
      </c>
      <c r="H69" s="174" t="s">
        <v>3711</v>
      </c>
    </row>
    <row r="70" spans="1:8" x14ac:dyDescent="0.2">
      <c r="A70" s="174" t="s">
        <v>3715</v>
      </c>
      <c r="B70" s="174">
        <v>15</v>
      </c>
      <c r="D70" s="174" t="s">
        <v>3702</v>
      </c>
      <c r="E70" s="174" t="s">
        <v>3720</v>
      </c>
      <c r="F70" s="174">
        <v>-20</v>
      </c>
      <c r="H70" s="174" t="s">
        <v>3711</v>
      </c>
    </row>
    <row r="71" spans="1:8" x14ac:dyDescent="0.2">
      <c r="A71" s="174" t="s">
        <v>3717</v>
      </c>
      <c r="B71" s="174">
        <v>5</v>
      </c>
      <c r="D71" s="174" t="s">
        <v>3702</v>
      </c>
      <c r="E71" s="174" t="s">
        <v>3722</v>
      </c>
      <c r="F71" s="174">
        <v>-15</v>
      </c>
      <c r="H71" s="174" t="s">
        <v>3711</v>
      </c>
    </row>
    <row r="72" spans="1:8" x14ac:dyDescent="0.2">
      <c r="A72" s="174" t="s">
        <v>3719</v>
      </c>
      <c r="B72" s="174">
        <v>5</v>
      </c>
      <c r="C72" s="190" t="s">
        <v>3603</v>
      </c>
      <c r="D72" s="174" t="s">
        <v>3702</v>
      </c>
      <c r="E72" s="174" t="s">
        <v>3724</v>
      </c>
      <c r="F72" s="174">
        <v>-25</v>
      </c>
      <c r="H72" s="174" t="s">
        <v>3711</v>
      </c>
    </row>
    <row r="73" spans="1:8" x14ac:dyDescent="0.2">
      <c r="A73" s="174" t="s">
        <v>3721</v>
      </c>
      <c r="B73" s="174">
        <v>10</v>
      </c>
      <c r="C73" s="190" t="s">
        <v>3606</v>
      </c>
      <c r="D73" s="174" t="s">
        <v>3702</v>
      </c>
      <c r="E73" s="174" t="s">
        <v>3727</v>
      </c>
      <c r="F73" s="174">
        <v>-20</v>
      </c>
      <c r="H73" s="174" t="s">
        <v>3711</v>
      </c>
    </row>
    <row r="74" spans="1:8" x14ac:dyDescent="0.2">
      <c r="A74" s="174" t="s">
        <v>3723</v>
      </c>
      <c r="B74" s="174">
        <v>15</v>
      </c>
      <c r="C74" s="190" t="s">
        <v>3608</v>
      </c>
      <c r="D74" s="174" t="s">
        <v>3702</v>
      </c>
      <c r="E74" s="174" t="s">
        <v>3730</v>
      </c>
      <c r="F74" s="174">
        <v>-30</v>
      </c>
      <c r="H74" s="174" t="s">
        <v>3711</v>
      </c>
    </row>
    <row r="75" spans="1:8" x14ac:dyDescent="0.2">
      <c r="A75" s="174" t="s">
        <v>3725</v>
      </c>
      <c r="B75" s="174">
        <v>20</v>
      </c>
      <c r="C75" s="190" t="s">
        <v>3726</v>
      </c>
      <c r="D75" s="174" t="s">
        <v>3702</v>
      </c>
      <c r="E75" s="174" t="s">
        <v>3732</v>
      </c>
      <c r="F75" s="174">
        <v>-10</v>
      </c>
      <c r="H75" s="174" t="s">
        <v>3711</v>
      </c>
    </row>
    <row r="76" spans="1:8" x14ac:dyDescent="0.2">
      <c r="A76" s="174" t="s">
        <v>3728</v>
      </c>
      <c r="B76" s="174">
        <v>10</v>
      </c>
      <c r="C76" s="190" t="s">
        <v>3729</v>
      </c>
      <c r="D76" s="174" t="s">
        <v>3702</v>
      </c>
      <c r="E76" s="174" t="s">
        <v>3735</v>
      </c>
      <c r="F76" s="174">
        <v>-15</v>
      </c>
      <c r="H76" s="174" t="s">
        <v>3711</v>
      </c>
    </row>
    <row r="77" spans="1:8" x14ac:dyDescent="0.2">
      <c r="A77" s="174" t="s">
        <v>3731</v>
      </c>
      <c r="B77" s="174">
        <v>10</v>
      </c>
      <c r="C77" s="190" t="s">
        <v>4161</v>
      </c>
      <c r="D77" s="174" t="s">
        <v>3702</v>
      </c>
      <c r="E77" s="174" t="s">
        <v>4148</v>
      </c>
      <c r="F77" s="174">
        <v>-15</v>
      </c>
      <c r="G77" s="174" t="s">
        <v>4149</v>
      </c>
      <c r="H77" s="174" t="s">
        <v>3711</v>
      </c>
    </row>
    <row r="78" spans="1:8" x14ac:dyDescent="0.2">
      <c r="A78" s="174" t="s">
        <v>3733</v>
      </c>
      <c r="B78" s="174">
        <v>7</v>
      </c>
      <c r="C78" s="190" t="s">
        <v>3734</v>
      </c>
      <c r="D78" s="174" t="s">
        <v>3702</v>
      </c>
      <c r="E78" s="174" t="s">
        <v>4144</v>
      </c>
      <c r="F78" s="174">
        <v>-5</v>
      </c>
      <c r="G78" s="174" t="s">
        <v>4145</v>
      </c>
      <c r="H78" s="174" t="s">
        <v>3711</v>
      </c>
    </row>
    <row r="79" spans="1:8" x14ac:dyDescent="0.2">
      <c r="A79" s="174" t="s">
        <v>3736</v>
      </c>
      <c r="B79" s="174">
        <v>5</v>
      </c>
      <c r="D79" s="174" t="s">
        <v>3702</v>
      </c>
      <c r="E79" s="174" t="s">
        <v>4140</v>
      </c>
      <c r="F79" s="174">
        <v>-15</v>
      </c>
      <c r="G79" s="174" t="s">
        <v>4141</v>
      </c>
      <c r="H79" s="174" t="s">
        <v>3711</v>
      </c>
    </row>
    <row r="80" spans="1:8" x14ac:dyDescent="0.2">
      <c r="A80" s="174" t="s">
        <v>3738</v>
      </c>
      <c r="B80" s="174">
        <v>5</v>
      </c>
      <c r="C80" s="190" t="s">
        <v>3606</v>
      </c>
      <c r="D80" s="174" t="s">
        <v>3702</v>
      </c>
      <c r="E80" s="174" t="s">
        <v>3737</v>
      </c>
      <c r="F80" s="174">
        <v>-10</v>
      </c>
      <c r="H80" s="174" t="s">
        <v>3711</v>
      </c>
    </row>
    <row r="81" spans="1:8" x14ac:dyDescent="0.2">
      <c r="A81" s="174" t="s">
        <v>3741</v>
      </c>
      <c r="B81" s="174">
        <v>15</v>
      </c>
      <c r="D81" s="174" t="s">
        <v>3702</v>
      </c>
      <c r="E81" s="174" t="s">
        <v>3739</v>
      </c>
      <c r="F81" s="174">
        <v>-10</v>
      </c>
      <c r="H81" s="174" t="s">
        <v>3711</v>
      </c>
    </row>
    <row r="82" spans="1:8" x14ac:dyDescent="0.2">
      <c r="A82" s="174" t="s">
        <v>3744</v>
      </c>
      <c r="B82" s="174">
        <v>8</v>
      </c>
      <c r="D82" s="174" t="s">
        <v>3702</v>
      </c>
      <c r="E82" s="174" t="s">
        <v>3740</v>
      </c>
      <c r="F82" s="174">
        <v>-10</v>
      </c>
      <c r="H82" s="174" t="s">
        <v>3711</v>
      </c>
    </row>
    <row r="83" spans="1:8" x14ac:dyDescent="0.2">
      <c r="A83" s="174" t="s">
        <v>3746</v>
      </c>
      <c r="B83" s="174">
        <v>3</v>
      </c>
      <c r="D83" s="174" t="s">
        <v>3702</v>
      </c>
      <c r="E83" s="174" t="s">
        <v>3742</v>
      </c>
      <c r="F83" s="174">
        <v>-5</v>
      </c>
      <c r="H83" s="174" t="s">
        <v>3711</v>
      </c>
    </row>
    <row r="84" spans="1:8" x14ac:dyDescent="0.2">
      <c r="A84" s="174" t="s">
        <v>3748</v>
      </c>
      <c r="B84" s="174">
        <v>15</v>
      </c>
      <c r="D84" s="174" t="s">
        <v>3702</v>
      </c>
      <c r="E84" s="174" t="s">
        <v>3743</v>
      </c>
      <c r="F84" s="174">
        <v>-5</v>
      </c>
      <c r="H84" s="174" t="s">
        <v>3711</v>
      </c>
    </row>
    <row r="85" spans="1:8" x14ac:dyDescent="0.2">
      <c r="A85" s="174" t="s">
        <v>3750</v>
      </c>
      <c r="B85" s="174">
        <v>5</v>
      </c>
      <c r="C85" s="190" t="s">
        <v>3603</v>
      </c>
      <c r="D85" s="174" t="s">
        <v>3702</v>
      </c>
      <c r="E85" s="174" t="s">
        <v>3745</v>
      </c>
      <c r="F85" s="174">
        <v>-5</v>
      </c>
      <c r="H85" s="174" t="s">
        <v>3711</v>
      </c>
    </row>
    <row r="86" spans="1:8" x14ac:dyDescent="0.2">
      <c r="A86" s="174" t="s">
        <v>3752</v>
      </c>
      <c r="B86" s="174">
        <v>10</v>
      </c>
      <c r="C86" s="190" t="s">
        <v>3606</v>
      </c>
      <c r="D86" s="174" t="s">
        <v>3702</v>
      </c>
      <c r="E86" s="174" t="s">
        <v>3747</v>
      </c>
      <c r="F86" s="174">
        <v>-10</v>
      </c>
      <c r="H86" s="174" t="s">
        <v>3711</v>
      </c>
    </row>
    <row r="87" spans="1:8" x14ac:dyDescent="0.2">
      <c r="A87" s="174" t="s">
        <v>3753</v>
      </c>
      <c r="B87" s="174">
        <v>15</v>
      </c>
      <c r="C87" s="190" t="s">
        <v>3608</v>
      </c>
      <c r="D87" s="174" t="s">
        <v>3702</v>
      </c>
      <c r="E87" s="174" t="s">
        <v>3749</v>
      </c>
      <c r="F87" s="174">
        <v>-15</v>
      </c>
      <c r="H87" s="174" t="s">
        <v>3711</v>
      </c>
    </row>
    <row r="88" spans="1:8" x14ac:dyDescent="0.2">
      <c r="A88" s="174" t="s">
        <v>3756</v>
      </c>
      <c r="B88" s="174">
        <v>20</v>
      </c>
      <c r="C88" s="190" t="s">
        <v>3726</v>
      </c>
      <c r="D88" s="174" t="s">
        <v>3702</v>
      </c>
      <c r="E88" s="174" t="s">
        <v>3751</v>
      </c>
      <c r="F88" s="174">
        <v>-20</v>
      </c>
      <c r="H88" s="174" t="s">
        <v>3711</v>
      </c>
    </row>
    <row r="89" spans="1:8" x14ac:dyDescent="0.2">
      <c r="A89" s="174" t="s">
        <v>3758</v>
      </c>
      <c r="B89" s="174">
        <v>4</v>
      </c>
      <c r="D89" s="174" t="s">
        <v>3702</v>
      </c>
      <c r="E89" s="174" t="s">
        <v>4142</v>
      </c>
      <c r="F89" s="174">
        <v>-5</v>
      </c>
      <c r="G89" s="174" t="s">
        <v>4143</v>
      </c>
      <c r="H89" s="174" t="s">
        <v>3711</v>
      </c>
    </row>
    <row r="90" spans="1:8" x14ac:dyDescent="0.2">
      <c r="A90" s="174" t="s">
        <v>3760</v>
      </c>
      <c r="B90" s="174">
        <v>7</v>
      </c>
      <c r="D90" s="174" t="s">
        <v>3702</v>
      </c>
      <c r="E90" s="174" t="s">
        <v>3754</v>
      </c>
      <c r="F90" s="174">
        <v>-10</v>
      </c>
      <c r="G90" s="174" t="s">
        <v>3755</v>
      </c>
      <c r="H90" s="174" t="s">
        <v>3711</v>
      </c>
    </row>
    <row r="91" spans="1:8" x14ac:dyDescent="0.2">
      <c r="A91" s="174" t="s">
        <v>3761</v>
      </c>
      <c r="B91" s="174">
        <v>15</v>
      </c>
      <c r="D91" s="174" t="s">
        <v>3702</v>
      </c>
      <c r="E91" s="174" t="s">
        <v>3757</v>
      </c>
      <c r="F91" s="174">
        <v>-10</v>
      </c>
      <c r="H91" s="174" t="s">
        <v>3711</v>
      </c>
    </row>
    <row r="92" spans="1:8" x14ac:dyDescent="0.2">
      <c r="A92" s="174" t="s">
        <v>3764</v>
      </c>
      <c r="B92" s="174">
        <v>5</v>
      </c>
      <c r="D92" s="174" t="s">
        <v>3702</v>
      </c>
      <c r="E92" s="174" t="s">
        <v>3759</v>
      </c>
      <c r="F92" s="174">
        <v>-10</v>
      </c>
      <c r="H92" s="174" t="s">
        <v>3711</v>
      </c>
    </row>
    <row r="93" spans="1:8" x14ac:dyDescent="0.2">
      <c r="A93" s="174" t="s">
        <v>3766</v>
      </c>
      <c r="B93" s="174">
        <v>5</v>
      </c>
      <c r="C93" s="190" t="s">
        <v>3767</v>
      </c>
      <c r="D93" s="174" t="s">
        <v>3702</v>
      </c>
      <c r="E93" s="174" t="s">
        <v>3762</v>
      </c>
      <c r="F93" s="174">
        <v>-10</v>
      </c>
      <c r="H93" s="174" t="s">
        <v>3711</v>
      </c>
    </row>
    <row r="94" spans="1:8" x14ac:dyDescent="0.2">
      <c r="A94" s="174" t="s">
        <v>3769</v>
      </c>
      <c r="B94" s="174">
        <v>10</v>
      </c>
      <c r="D94" s="174" t="s">
        <v>3702</v>
      </c>
      <c r="E94" s="174" t="s">
        <v>3763</v>
      </c>
      <c r="F94" s="174">
        <v>-15</v>
      </c>
      <c r="G94" s="174" t="s">
        <v>4167</v>
      </c>
      <c r="H94" s="174" t="s">
        <v>3711</v>
      </c>
    </row>
    <row r="95" spans="1:8" x14ac:dyDescent="0.2">
      <c r="A95" s="174" t="s">
        <v>3771</v>
      </c>
      <c r="B95" s="174">
        <v>13</v>
      </c>
      <c r="C95" s="190" t="s">
        <v>3772</v>
      </c>
      <c r="D95" s="174" t="s">
        <v>3702</v>
      </c>
      <c r="E95" s="174" t="s">
        <v>3765</v>
      </c>
      <c r="F95" s="174">
        <v>-3</v>
      </c>
      <c r="H95" s="174" t="s">
        <v>3711</v>
      </c>
    </row>
    <row r="96" spans="1:8" x14ac:dyDescent="0.2">
      <c r="A96" s="174" t="s">
        <v>3774</v>
      </c>
      <c r="B96" s="174">
        <v>8</v>
      </c>
      <c r="C96" s="190" t="s">
        <v>3775</v>
      </c>
      <c r="D96" s="174" t="s">
        <v>3702</v>
      </c>
      <c r="E96" s="174" t="s">
        <v>3768</v>
      </c>
      <c r="F96" s="174">
        <v>-10</v>
      </c>
      <c r="H96" s="174" t="s">
        <v>3711</v>
      </c>
    </row>
    <row r="97" spans="1:8" x14ac:dyDescent="0.2">
      <c r="A97" s="174" t="s">
        <v>3777</v>
      </c>
      <c r="B97" s="174">
        <v>15</v>
      </c>
      <c r="D97" s="174" t="s">
        <v>3702</v>
      </c>
      <c r="E97" s="174" t="s">
        <v>3770</v>
      </c>
      <c r="F97" s="174">
        <v>-20</v>
      </c>
      <c r="H97" s="174" t="s">
        <v>3711</v>
      </c>
    </row>
    <row r="98" spans="1:8" x14ac:dyDescent="0.2">
      <c r="A98" s="174" t="s">
        <v>3779</v>
      </c>
      <c r="B98" s="174">
        <v>7</v>
      </c>
      <c r="D98" s="174" t="s">
        <v>3702</v>
      </c>
      <c r="E98" s="174" t="s">
        <v>3773</v>
      </c>
      <c r="F98" s="174">
        <v>-13</v>
      </c>
      <c r="H98" s="174" t="s">
        <v>3711</v>
      </c>
    </row>
    <row r="99" spans="1:8" x14ac:dyDescent="0.2">
      <c r="A99" s="174" t="s">
        <v>3781</v>
      </c>
      <c r="B99" s="174">
        <v>5</v>
      </c>
      <c r="D99" s="174" t="s">
        <v>3702</v>
      </c>
      <c r="E99" s="174" t="s">
        <v>3776</v>
      </c>
      <c r="F99" s="174">
        <v>-5</v>
      </c>
      <c r="H99" s="174" t="s">
        <v>3711</v>
      </c>
    </row>
    <row r="100" spans="1:8" x14ac:dyDescent="0.2">
      <c r="A100" s="174" t="s">
        <v>3785</v>
      </c>
      <c r="B100" s="174">
        <v>10</v>
      </c>
      <c r="D100" s="174" t="s">
        <v>3702</v>
      </c>
      <c r="E100" s="174" t="s">
        <v>3778</v>
      </c>
      <c r="F100" s="174">
        <v>-10</v>
      </c>
      <c r="H100" s="174" t="s">
        <v>3711</v>
      </c>
    </row>
    <row r="101" spans="1:8" x14ac:dyDescent="0.2">
      <c r="A101" s="174" t="s">
        <v>3787</v>
      </c>
      <c r="B101" s="174">
        <v>5</v>
      </c>
      <c r="C101" s="190" t="s">
        <v>3788</v>
      </c>
      <c r="D101" s="174" t="s">
        <v>3702</v>
      </c>
      <c r="E101" s="174" t="s">
        <v>3780</v>
      </c>
      <c r="F101" s="174">
        <v>-15</v>
      </c>
      <c r="H101" s="174" t="s">
        <v>3711</v>
      </c>
    </row>
    <row r="102" spans="1:8" x14ac:dyDescent="0.2">
      <c r="A102" s="174" t="s">
        <v>3789</v>
      </c>
      <c r="B102" s="174">
        <v>10</v>
      </c>
      <c r="C102" s="190" t="s">
        <v>3788</v>
      </c>
      <c r="D102" s="174" t="s">
        <v>3702</v>
      </c>
      <c r="E102" s="174" t="s">
        <v>3782</v>
      </c>
      <c r="F102" s="174">
        <v>-10</v>
      </c>
      <c r="H102" s="174" t="s">
        <v>3711</v>
      </c>
    </row>
    <row r="103" spans="1:8" x14ac:dyDescent="0.2">
      <c r="A103" s="174" t="s">
        <v>3791</v>
      </c>
      <c r="B103" s="174">
        <v>15</v>
      </c>
      <c r="C103" s="190" t="s">
        <v>3788</v>
      </c>
      <c r="D103" s="174" t="s">
        <v>3702</v>
      </c>
      <c r="E103" s="174" t="s">
        <v>3784</v>
      </c>
      <c r="F103" s="174">
        <v>-10</v>
      </c>
      <c r="H103" s="174" t="s">
        <v>3711</v>
      </c>
    </row>
    <row r="104" spans="1:8" x14ac:dyDescent="0.2">
      <c r="A104" s="174" t="s">
        <v>3793</v>
      </c>
      <c r="B104" s="174">
        <v>20</v>
      </c>
      <c r="C104" s="190" t="s">
        <v>3788</v>
      </c>
      <c r="D104" s="174" t="s">
        <v>3702</v>
      </c>
      <c r="E104" s="174" t="s">
        <v>3786</v>
      </c>
      <c r="F104" s="174">
        <v>-15</v>
      </c>
      <c r="H104" s="174" t="s">
        <v>3711</v>
      </c>
    </row>
    <row r="105" spans="1:8" x14ac:dyDescent="0.2">
      <c r="A105" s="174" t="s">
        <v>3795</v>
      </c>
      <c r="B105" s="174">
        <v>7</v>
      </c>
      <c r="D105" s="174" t="s">
        <v>3702</v>
      </c>
      <c r="E105" s="174" t="s">
        <v>3790</v>
      </c>
      <c r="F105" s="174">
        <v>-5</v>
      </c>
      <c r="H105" s="174" t="s">
        <v>3711</v>
      </c>
    </row>
    <row r="106" spans="1:8" x14ac:dyDescent="0.2">
      <c r="A106" s="174" t="s">
        <v>3798</v>
      </c>
      <c r="B106" s="174">
        <v>15</v>
      </c>
      <c r="D106" s="174" t="s">
        <v>3702</v>
      </c>
      <c r="E106" s="174" t="s">
        <v>3792</v>
      </c>
      <c r="F106" s="174">
        <v>-10</v>
      </c>
      <c r="H106" s="174" t="s">
        <v>3711</v>
      </c>
    </row>
    <row r="107" spans="1:8" x14ac:dyDescent="0.2">
      <c r="A107" s="174" t="s">
        <v>3800</v>
      </c>
      <c r="B107" s="174">
        <v>8</v>
      </c>
      <c r="D107" s="174" t="s">
        <v>3702</v>
      </c>
      <c r="E107" s="174" t="s">
        <v>3794</v>
      </c>
      <c r="F107" s="174">
        <v>-5</v>
      </c>
      <c r="H107" s="174" t="s">
        <v>3711</v>
      </c>
    </row>
    <row r="108" spans="1:8" x14ac:dyDescent="0.2">
      <c r="A108" s="174" t="s">
        <v>3802</v>
      </c>
      <c r="B108" s="174">
        <v>15</v>
      </c>
      <c r="D108" s="174" t="s">
        <v>3702</v>
      </c>
      <c r="E108" s="174" t="s">
        <v>3796</v>
      </c>
      <c r="F108" s="174">
        <v>-15</v>
      </c>
      <c r="H108" s="174" t="s">
        <v>3711</v>
      </c>
    </row>
    <row r="109" spans="1:8" x14ac:dyDescent="0.2">
      <c r="A109" s="174" t="s">
        <v>3804</v>
      </c>
      <c r="B109" s="174">
        <v>25</v>
      </c>
      <c r="D109" s="174" t="s">
        <v>3702</v>
      </c>
      <c r="E109" s="174" t="s">
        <v>3797</v>
      </c>
      <c r="F109" s="174">
        <v>-10</v>
      </c>
      <c r="H109" s="174" t="s">
        <v>3711</v>
      </c>
    </row>
    <row r="110" spans="1:8" x14ac:dyDescent="0.2">
      <c r="A110" s="174" t="s">
        <v>3806</v>
      </c>
      <c r="B110" s="174">
        <v>10</v>
      </c>
      <c r="D110" s="174" t="s">
        <v>3702</v>
      </c>
      <c r="E110" s="174" t="s">
        <v>3799</v>
      </c>
      <c r="F110" s="174">
        <v>-10</v>
      </c>
      <c r="H110" s="174" t="s">
        <v>3711</v>
      </c>
    </row>
    <row r="111" spans="1:8" x14ac:dyDescent="0.2">
      <c r="A111" s="174" t="s">
        <v>3808</v>
      </c>
      <c r="B111" s="174">
        <v>10</v>
      </c>
      <c r="C111" s="190" t="s">
        <v>4162</v>
      </c>
      <c r="D111" s="174" t="s">
        <v>3702</v>
      </c>
      <c r="E111" s="174" t="s">
        <v>3801</v>
      </c>
      <c r="F111" s="174">
        <v>-15</v>
      </c>
      <c r="H111" s="174" t="s">
        <v>3711</v>
      </c>
    </row>
    <row r="112" spans="1:8" x14ac:dyDescent="0.2">
      <c r="A112" s="174" t="s">
        <v>3810</v>
      </c>
      <c r="B112" s="174">
        <v>10</v>
      </c>
      <c r="D112" s="174" t="s">
        <v>3702</v>
      </c>
      <c r="E112" s="174" t="s">
        <v>3803</v>
      </c>
      <c r="F112" s="174">
        <v>-30</v>
      </c>
      <c r="H112" s="174" t="s">
        <v>3711</v>
      </c>
    </row>
    <row r="113" spans="1:8" x14ac:dyDescent="0.2">
      <c r="A113" s="174" t="s">
        <v>3812</v>
      </c>
      <c r="B113" s="174">
        <v>5</v>
      </c>
      <c r="C113" s="190" t="s">
        <v>3813</v>
      </c>
      <c r="D113" s="174" t="s">
        <v>3702</v>
      </c>
      <c r="E113" s="174" t="s">
        <v>3805</v>
      </c>
      <c r="F113" s="174">
        <v>-10</v>
      </c>
      <c r="H113" s="174" t="s">
        <v>3711</v>
      </c>
    </row>
    <row r="114" spans="1:8" x14ac:dyDescent="0.2">
      <c r="A114" s="174" t="s">
        <v>3815</v>
      </c>
      <c r="B114" s="174">
        <v>5</v>
      </c>
      <c r="D114" s="174" t="s">
        <v>3702</v>
      </c>
      <c r="E114" s="174" t="s">
        <v>3807</v>
      </c>
      <c r="F114" s="174">
        <v>-10</v>
      </c>
      <c r="H114" s="174" t="s">
        <v>3711</v>
      </c>
    </row>
    <row r="115" spans="1:8" x14ac:dyDescent="0.2">
      <c r="A115" s="174" t="s">
        <v>3817</v>
      </c>
      <c r="B115" s="174">
        <v>15</v>
      </c>
      <c r="D115" s="174" t="s">
        <v>3702</v>
      </c>
      <c r="E115" s="174" t="s">
        <v>3809</v>
      </c>
      <c r="F115" s="174">
        <v>-5</v>
      </c>
      <c r="H115" s="174" t="s">
        <v>3711</v>
      </c>
    </row>
    <row r="116" spans="1:8" x14ac:dyDescent="0.2">
      <c r="A116" s="174" t="s">
        <v>3819</v>
      </c>
      <c r="B116" s="174">
        <v>10</v>
      </c>
      <c r="D116" s="174" t="s">
        <v>3702</v>
      </c>
      <c r="E116" s="174" t="s">
        <v>3811</v>
      </c>
      <c r="F116" s="174">
        <v>-10</v>
      </c>
      <c r="H116" s="174" t="s">
        <v>3711</v>
      </c>
    </row>
    <row r="117" spans="1:8" x14ac:dyDescent="0.2">
      <c r="A117" s="174" t="s">
        <v>3821</v>
      </c>
      <c r="B117" s="174">
        <v>8</v>
      </c>
      <c r="D117" s="174" t="s">
        <v>3702</v>
      </c>
      <c r="E117" s="174" t="s">
        <v>3814</v>
      </c>
      <c r="F117" s="174">
        <v>-15</v>
      </c>
      <c r="H117" s="174" t="s">
        <v>3711</v>
      </c>
    </row>
    <row r="118" spans="1:8" x14ac:dyDescent="0.2">
      <c r="A118" s="174" t="s">
        <v>3823</v>
      </c>
      <c r="B118" s="174">
        <v>10</v>
      </c>
      <c r="C118" s="190" t="s">
        <v>3824</v>
      </c>
      <c r="D118" s="174" t="s">
        <v>3702</v>
      </c>
      <c r="E118" s="174" t="s">
        <v>3816</v>
      </c>
      <c r="F118" s="174">
        <v>-7</v>
      </c>
      <c r="H118" s="174" t="s">
        <v>3711</v>
      </c>
    </row>
    <row r="119" spans="1:8" x14ac:dyDescent="0.2">
      <c r="A119" s="174" t="s">
        <v>3826</v>
      </c>
      <c r="B119" s="174">
        <v>15</v>
      </c>
      <c r="C119" s="190" t="s">
        <v>3827</v>
      </c>
      <c r="D119" s="174" t="s">
        <v>3702</v>
      </c>
      <c r="E119" s="174" t="s">
        <v>3818</v>
      </c>
      <c r="F119" s="174">
        <v>-5</v>
      </c>
      <c r="H119" s="174" t="s">
        <v>3711</v>
      </c>
    </row>
    <row r="120" spans="1:8" x14ac:dyDescent="0.2">
      <c r="A120" s="174" t="s">
        <v>3829</v>
      </c>
      <c r="B120" s="174">
        <v>20</v>
      </c>
      <c r="C120" s="190" t="s">
        <v>3830</v>
      </c>
      <c r="D120" s="174" t="s">
        <v>3702</v>
      </c>
      <c r="E120" s="174" t="s">
        <v>3820</v>
      </c>
      <c r="F120" s="174">
        <v>-10</v>
      </c>
      <c r="H120" s="174" t="s">
        <v>3711</v>
      </c>
    </row>
    <row r="121" spans="1:8" x14ac:dyDescent="0.2">
      <c r="A121" s="174" t="s">
        <v>3832</v>
      </c>
      <c r="B121" s="174">
        <v>12</v>
      </c>
      <c r="D121" s="174" t="s">
        <v>3702</v>
      </c>
      <c r="E121" s="174" t="s">
        <v>3822</v>
      </c>
      <c r="F121" s="174">
        <v>-15</v>
      </c>
      <c r="H121" s="174" t="s">
        <v>3711</v>
      </c>
    </row>
    <row r="122" spans="1:8" x14ac:dyDescent="0.2">
      <c r="A122" s="174" t="s">
        <v>3834</v>
      </c>
      <c r="B122" s="174">
        <v>10</v>
      </c>
      <c r="D122" s="174" t="s">
        <v>3702</v>
      </c>
      <c r="E122" s="174" t="s">
        <v>3825</v>
      </c>
      <c r="F122" s="174">
        <v>-5</v>
      </c>
      <c r="H122" s="174" t="s">
        <v>3711</v>
      </c>
    </row>
    <row r="123" spans="1:8" x14ac:dyDescent="0.2">
      <c r="A123" s="174" t="s">
        <v>3836</v>
      </c>
      <c r="B123" s="174">
        <v>15</v>
      </c>
      <c r="D123" s="174" t="s">
        <v>3702</v>
      </c>
      <c r="E123" s="174" t="s">
        <v>3828</v>
      </c>
      <c r="F123" s="174">
        <v>-10</v>
      </c>
      <c r="H123" s="174" t="s">
        <v>3711</v>
      </c>
    </row>
    <row r="124" spans="1:8" x14ac:dyDescent="0.2">
      <c r="A124" s="174" t="s">
        <v>3838</v>
      </c>
      <c r="B124" s="174">
        <v>30</v>
      </c>
      <c r="D124" s="174" t="s">
        <v>3702</v>
      </c>
      <c r="E124" s="174" t="s">
        <v>3831</v>
      </c>
      <c r="F124" s="174">
        <v>-15</v>
      </c>
      <c r="H124" s="174" t="s">
        <v>3711</v>
      </c>
    </row>
    <row r="125" spans="1:8" x14ac:dyDescent="0.2">
      <c r="A125" s="174" t="s">
        <v>3840</v>
      </c>
      <c r="B125" s="174">
        <v>10</v>
      </c>
      <c r="D125" s="174" t="s">
        <v>3702</v>
      </c>
      <c r="E125" s="174" t="s">
        <v>3833</v>
      </c>
      <c r="F125" s="174">
        <v>-20</v>
      </c>
      <c r="H125" s="174" t="s">
        <v>3711</v>
      </c>
    </row>
    <row r="126" spans="1:8" x14ac:dyDescent="0.2">
      <c r="A126" s="185" t="s">
        <v>345</v>
      </c>
      <c r="B126" s="174" t="s">
        <v>345</v>
      </c>
      <c r="C126" s="190" t="s">
        <v>345</v>
      </c>
      <c r="D126" s="174" t="s">
        <v>345</v>
      </c>
      <c r="E126" s="174" t="s">
        <v>3835</v>
      </c>
      <c r="F126" s="174">
        <v>-5</v>
      </c>
      <c r="H126" s="174" t="s">
        <v>3711</v>
      </c>
    </row>
    <row r="127" spans="1:8" x14ac:dyDescent="0.2">
      <c r="A127" s="182" t="s">
        <v>3843</v>
      </c>
      <c r="E127" s="174" t="s">
        <v>3837</v>
      </c>
      <c r="F127" s="174">
        <v>-5</v>
      </c>
      <c r="H127" s="174" t="s">
        <v>3711</v>
      </c>
    </row>
    <row r="128" spans="1:8" x14ac:dyDescent="0.2">
      <c r="A128" s="174" t="s">
        <v>3846</v>
      </c>
      <c r="B128" s="174">
        <v>7</v>
      </c>
      <c r="D128" s="174" t="s">
        <v>3847</v>
      </c>
      <c r="E128" s="174" t="s">
        <v>3839</v>
      </c>
      <c r="F128" s="174">
        <v>-5</v>
      </c>
      <c r="H128" s="174" t="s">
        <v>3711</v>
      </c>
    </row>
    <row r="129" spans="1:8" x14ac:dyDescent="0.2">
      <c r="A129" s="174" t="s">
        <v>3850</v>
      </c>
      <c r="B129" s="174">
        <v>18</v>
      </c>
      <c r="D129" s="174" t="s">
        <v>3847</v>
      </c>
      <c r="E129" s="174" t="s">
        <v>3841</v>
      </c>
      <c r="F129" s="174">
        <v>-10</v>
      </c>
      <c r="H129" s="174" t="s">
        <v>3711</v>
      </c>
    </row>
    <row r="130" spans="1:8" x14ac:dyDescent="0.2">
      <c r="A130" s="174" t="s">
        <v>3854</v>
      </c>
      <c r="B130" s="174">
        <v>5</v>
      </c>
      <c r="C130" s="190" t="s">
        <v>3855</v>
      </c>
      <c r="D130" s="174" t="s">
        <v>3847</v>
      </c>
      <c r="E130" s="174" t="s">
        <v>3842</v>
      </c>
      <c r="F130" s="174">
        <v>-15</v>
      </c>
      <c r="H130" s="174" t="s">
        <v>3711</v>
      </c>
    </row>
    <row r="131" spans="1:8" x14ac:dyDescent="0.2">
      <c r="A131" s="174" t="s">
        <v>3857</v>
      </c>
      <c r="B131" s="174">
        <v>10</v>
      </c>
      <c r="C131" s="190" t="s">
        <v>3858</v>
      </c>
      <c r="D131" s="174" t="s">
        <v>3847</v>
      </c>
      <c r="E131" s="174" t="s">
        <v>3844</v>
      </c>
      <c r="F131" s="174">
        <v>-5</v>
      </c>
      <c r="G131" s="174" t="s">
        <v>3845</v>
      </c>
      <c r="H131" s="174" t="s">
        <v>3711</v>
      </c>
    </row>
    <row r="132" spans="1:8" x14ac:dyDescent="0.2">
      <c r="A132" s="174" t="s">
        <v>3860</v>
      </c>
      <c r="B132" s="174">
        <v>15</v>
      </c>
      <c r="C132" s="190" t="s">
        <v>3861</v>
      </c>
      <c r="D132" s="174" t="s">
        <v>3847</v>
      </c>
      <c r="E132" s="174" t="s">
        <v>3848</v>
      </c>
      <c r="F132" s="174">
        <v>-15</v>
      </c>
      <c r="G132" s="174" t="s">
        <v>3849</v>
      </c>
      <c r="H132" s="174" t="s">
        <v>3711</v>
      </c>
    </row>
    <row r="133" spans="1:8" x14ac:dyDescent="0.2">
      <c r="A133" s="174" t="s">
        <v>3863</v>
      </c>
      <c r="B133" s="174">
        <v>15</v>
      </c>
      <c r="D133" s="174" t="s">
        <v>3847</v>
      </c>
      <c r="E133" s="174" t="s">
        <v>3851</v>
      </c>
      <c r="F133" s="174">
        <v>-3</v>
      </c>
      <c r="H133" s="174" t="s">
        <v>3711</v>
      </c>
    </row>
    <row r="134" spans="1:8" x14ac:dyDescent="0.2">
      <c r="A134" s="174" t="s">
        <v>3865</v>
      </c>
      <c r="B134" s="174">
        <v>7</v>
      </c>
      <c r="D134" s="174" t="s">
        <v>3847</v>
      </c>
      <c r="E134" s="174" t="s">
        <v>3852</v>
      </c>
      <c r="F134" s="174">
        <v>-7</v>
      </c>
      <c r="H134" s="174" t="s">
        <v>3711</v>
      </c>
    </row>
    <row r="135" spans="1:8" x14ac:dyDescent="0.2">
      <c r="A135" s="174" t="s">
        <v>3867</v>
      </c>
      <c r="B135" s="174">
        <v>15</v>
      </c>
      <c r="D135" s="174" t="s">
        <v>3847</v>
      </c>
      <c r="E135" s="174" t="s">
        <v>3853</v>
      </c>
      <c r="F135" s="174">
        <v>-15</v>
      </c>
      <c r="H135" s="174" t="s">
        <v>3711</v>
      </c>
    </row>
    <row r="136" spans="1:8" x14ac:dyDescent="0.2">
      <c r="A136" s="174" t="s">
        <v>3869</v>
      </c>
      <c r="B136" s="174">
        <v>10</v>
      </c>
      <c r="D136" s="174" t="s">
        <v>3847</v>
      </c>
      <c r="E136" s="174" t="s">
        <v>3856</v>
      </c>
      <c r="F136" s="174">
        <v>-20</v>
      </c>
      <c r="H136" s="174" t="s">
        <v>3711</v>
      </c>
    </row>
    <row r="137" spans="1:8" x14ac:dyDescent="0.2">
      <c r="A137" s="174" t="s">
        <v>3872</v>
      </c>
      <c r="B137" s="174">
        <v>30</v>
      </c>
      <c r="C137" s="190" t="s">
        <v>4163</v>
      </c>
      <c r="D137" s="174" t="s">
        <v>3847</v>
      </c>
      <c r="E137" s="174" t="s">
        <v>3859</v>
      </c>
      <c r="F137" s="174">
        <v>-10</v>
      </c>
      <c r="H137" s="174" t="s">
        <v>3711</v>
      </c>
    </row>
    <row r="138" spans="1:8" x14ac:dyDescent="0.2">
      <c r="A138" s="174" t="s">
        <v>3874</v>
      </c>
      <c r="B138" s="174">
        <v>5</v>
      </c>
      <c r="C138" s="190" t="s">
        <v>3606</v>
      </c>
      <c r="D138" s="174" t="s">
        <v>3847</v>
      </c>
      <c r="E138" s="219" t="s">
        <v>3862</v>
      </c>
      <c r="F138" s="174">
        <v>-10</v>
      </c>
      <c r="G138" s="174" t="s">
        <v>345</v>
      </c>
      <c r="H138" s="174" t="s">
        <v>3711</v>
      </c>
    </row>
    <row r="139" spans="1:8" x14ac:dyDescent="0.2">
      <c r="A139" s="174" t="s">
        <v>1553</v>
      </c>
      <c r="B139" s="174">
        <v>7</v>
      </c>
      <c r="D139" s="174" t="s">
        <v>3847</v>
      </c>
    </row>
    <row r="140" spans="1:8" x14ac:dyDescent="0.2">
      <c r="A140" s="174" t="s">
        <v>3877</v>
      </c>
      <c r="B140" s="174">
        <v>7</v>
      </c>
      <c r="D140" s="174" t="s">
        <v>3847</v>
      </c>
      <c r="E140" s="182" t="s">
        <v>3864</v>
      </c>
    </row>
    <row r="141" spans="1:8" x14ac:dyDescent="0.2">
      <c r="A141" s="174" t="s">
        <v>3879</v>
      </c>
      <c r="B141" s="174">
        <v>20</v>
      </c>
      <c r="D141" s="174" t="s">
        <v>3847</v>
      </c>
      <c r="E141" s="174" t="s">
        <v>3866</v>
      </c>
      <c r="F141" s="174">
        <v>-20</v>
      </c>
      <c r="H141" s="174" t="s">
        <v>207</v>
      </c>
    </row>
    <row r="142" spans="1:8" x14ac:dyDescent="0.2">
      <c r="A142" s="174" t="s">
        <v>3881</v>
      </c>
      <c r="B142" s="174">
        <v>15</v>
      </c>
      <c r="C142" s="190" t="s">
        <v>3882</v>
      </c>
      <c r="D142" s="174" t="s">
        <v>3847</v>
      </c>
      <c r="E142" s="174" t="s">
        <v>3868</v>
      </c>
      <c r="F142" s="174">
        <v>-10</v>
      </c>
      <c r="H142" s="174" t="s">
        <v>207</v>
      </c>
    </row>
    <row r="143" spans="1:8" x14ac:dyDescent="0.2">
      <c r="A143" s="174" t="s">
        <v>3884</v>
      </c>
      <c r="B143" s="174">
        <v>7</v>
      </c>
      <c r="D143" s="174" t="s">
        <v>3847</v>
      </c>
      <c r="E143" s="174" t="s">
        <v>3870</v>
      </c>
      <c r="F143" s="174">
        <v>-10</v>
      </c>
      <c r="G143" s="174" t="s">
        <v>4168</v>
      </c>
      <c r="H143" s="174" t="s">
        <v>207</v>
      </c>
    </row>
    <row r="144" spans="1:8" x14ac:dyDescent="0.2">
      <c r="A144" s="174" t="s">
        <v>3886</v>
      </c>
      <c r="B144" s="174">
        <v>6</v>
      </c>
      <c r="D144" s="174" t="s">
        <v>3847</v>
      </c>
      <c r="E144" s="174" t="s">
        <v>3871</v>
      </c>
      <c r="F144" s="174">
        <v>-5</v>
      </c>
      <c r="H144" s="174" t="s">
        <v>207</v>
      </c>
    </row>
    <row r="145" spans="1:8" x14ac:dyDescent="0.2">
      <c r="A145" s="174" t="s">
        <v>3888</v>
      </c>
      <c r="B145" s="174">
        <v>25</v>
      </c>
      <c r="D145" s="174" t="s">
        <v>3847</v>
      </c>
      <c r="E145" s="174" t="s">
        <v>3873</v>
      </c>
      <c r="F145" s="174">
        <v>-10</v>
      </c>
      <c r="H145" s="174" t="s">
        <v>207</v>
      </c>
    </row>
    <row r="146" spans="1:8" x14ac:dyDescent="0.2">
      <c r="A146" s="174" t="s">
        <v>3890</v>
      </c>
      <c r="B146" s="174">
        <v>10</v>
      </c>
      <c r="D146" s="174" t="s">
        <v>3847</v>
      </c>
      <c r="E146" s="174" t="s">
        <v>3875</v>
      </c>
      <c r="F146" s="174">
        <v>-15</v>
      </c>
      <c r="H146" s="174" t="s">
        <v>207</v>
      </c>
    </row>
    <row r="147" spans="1:8" x14ac:dyDescent="0.2">
      <c r="A147" s="174" t="s">
        <v>3893</v>
      </c>
      <c r="B147" s="174">
        <v>7</v>
      </c>
      <c r="D147" s="174" t="s">
        <v>3847</v>
      </c>
      <c r="E147" s="174" t="s">
        <v>3876</v>
      </c>
      <c r="F147" s="174">
        <v>-5</v>
      </c>
      <c r="H147" s="174" t="s">
        <v>207</v>
      </c>
    </row>
    <row r="148" spans="1:8" x14ac:dyDescent="0.2">
      <c r="A148" s="174" t="s">
        <v>3898</v>
      </c>
      <c r="B148" s="174">
        <v>15</v>
      </c>
      <c r="C148" s="190" t="s">
        <v>3899</v>
      </c>
      <c r="D148" s="174" t="s">
        <v>3847</v>
      </c>
      <c r="E148" s="174" t="s">
        <v>3878</v>
      </c>
      <c r="F148" s="174">
        <v>-10</v>
      </c>
      <c r="H148" s="174" t="s">
        <v>207</v>
      </c>
    </row>
    <row r="149" spans="1:8" x14ac:dyDescent="0.2">
      <c r="A149" s="174" t="s">
        <v>3901</v>
      </c>
      <c r="B149" s="174">
        <v>5</v>
      </c>
      <c r="D149" s="174" t="s">
        <v>3847</v>
      </c>
      <c r="E149" s="174" t="s">
        <v>3880</v>
      </c>
      <c r="F149" s="174">
        <v>-15</v>
      </c>
      <c r="H149" s="174" t="s">
        <v>207</v>
      </c>
    </row>
    <row r="150" spans="1:8" x14ac:dyDescent="0.2">
      <c r="A150" s="174" t="s">
        <v>3903</v>
      </c>
      <c r="B150" s="174">
        <v>10</v>
      </c>
      <c r="D150" s="174" t="s">
        <v>3847</v>
      </c>
      <c r="E150" s="174" t="s">
        <v>3883</v>
      </c>
      <c r="F150" s="174">
        <v>-10</v>
      </c>
      <c r="H150" s="174" t="s">
        <v>207</v>
      </c>
    </row>
    <row r="151" spans="1:8" x14ac:dyDescent="0.2">
      <c r="A151" s="174" t="s">
        <v>3905</v>
      </c>
      <c r="B151" s="174">
        <v>15</v>
      </c>
      <c r="C151" s="190" t="s">
        <v>3906</v>
      </c>
      <c r="D151" s="174" t="s">
        <v>3847</v>
      </c>
      <c r="E151" s="174" t="s">
        <v>3885</v>
      </c>
      <c r="F151" s="174">
        <v>-10</v>
      </c>
      <c r="H151" s="174" t="s">
        <v>207</v>
      </c>
    </row>
    <row r="152" spans="1:8" x14ac:dyDescent="0.2">
      <c r="A152" s="174" t="s">
        <v>3908</v>
      </c>
      <c r="B152" s="174">
        <v>7</v>
      </c>
      <c r="D152" s="174" t="s">
        <v>3847</v>
      </c>
      <c r="E152" s="174" t="s">
        <v>3887</v>
      </c>
      <c r="F152" s="174">
        <v>-15</v>
      </c>
      <c r="H152" s="174" t="s">
        <v>207</v>
      </c>
    </row>
    <row r="153" spans="1:8" x14ac:dyDescent="0.2">
      <c r="A153" s="174" t="s">
        <v>3910</v>
      </c>
      <c r="B153" s="174">
        <v>18</v>
      </c>
      <c r="D153" s="174" t="s">
        <v>3847</v>
      </c>
      <c r="E153" s="174" t="s">
        <v>3889</v>
      </c>
      <c r="F153" s="174">
        <v>-15</v>
      </c>
      <c r="H153" s="174" t="s">
        <v>207</v>
      </c>
    </row>
    <row r="154" spans="1:8" x14ac:dyDescent="0.2">
      <c r="A154" s="174" t="s">
        <v>3912</v>
      </c>
      <c r="B154" s="174">
        <v>10</v>
      </c>
      <c r="D154" s="174" t="s">
        <v>3847</v>
      </c>
      <c r="E154" s="174" t="s">
        <v>3891</v>
      </c>
      <c r="F154" s="174">
        <v>-10</v>
      </c>
      <c r="G154" s="174" t="s">
        <v>3892</v>
      </c>
      <c r="H154" s="174" t="s">
        <v>207</v>
      </c>
    </row>
    <row r="155" spans="1:8" x14ac:dyDescent="0.2">
      <c r="A155" s="174" t="s">
        <v>3913</v>
      </c>
      <c r="B155" s="174">
        <v>6</v>
      </c>
      <c r="D155" s="174" t="s">
        <v>3847</v>
      </c>
      <c r="E155" s="174" t="s">
        <v>3894</v>
      </c>
      <c r="F155" s="174">
        <v>-20</v>
      </c>
      <c r="G155" s="174" t="s">
        <v>3892</v>
      </c>
      <c r="H155" s="174" t="s">
        <v>207</v>
      </c>
    </row>
    <row r="156" spans="1:8" x14ac:dyDescent="0.2">
      <c r="A156" s="174" t="s">
        <v>3914</v>
      </c>
      <c r="B156" s="174">
        <v>5</v>
      </c>
      <c r="D156" s="174" t="s">
        <v>3847</v>
      </c>
      <c r="E156" s="174" t="s">
        <v>3895</v>
      </c>
      <c r="F156" s="174">
        <v>-40</v>
      </c>
      <c r="G156" s="174" t="s">
        <v>3892</v>
      </c>
      <c r="H156" s="174" t="s">
        <v>207</v>
      </c>
    </row>
    <row r="157" spans="1:8" x14ac:dyDescent="0.2">
      <c r="C157" s="174"/>
      <c r="E157" s="174" t="s">
        <v>3896</v>
      </c>
      <c r="F157" s="174">
        <v>-10</v>
      </c>
      <c r="H157" s="174" t="s">
        <v>207</v>
      </c>
    </row>
    <row r="158" spans="1:8" x14ac:dyDescent="0.2">
      <c r="A158" s="182" t="s">
        <v>3915</v>
      </c>
      <c r="E158" s="174" t="s">
        <v>3897</v>
      </c>
      <c r="F158" s="174">
        <v>-7</v>
      </c>
      <c r="H158" s="174" t="s">
        <v>207</v>
      </c>
    </row>
    <row r="159" spans="1:8" x14ac:dyDescent="0.2">
      <c r="A159" s="182"/>
      <c r="E159" s="174" t="s">
        <v>3900</v>
      </c>
      <c r="F159" s="174">
        <v>-20</v>
      </c>
      <c r="H159" s="174" t="s">
        <v>207</v>
      </c>
    </row>
    <row r="160" spans="1:8" x14ac:dyDescent="0.2">
      <c r="A160" s="174" t="s">
        <v>3917</v>
      </c>
      <c r="B160" s="174">
        <v>5</v>
      </c>
      <c r="D160" s="174" t="s">
        <v>3918</v>
      </c>
      <c r="E160" s="174" t="s">
        <v>3902</v>
      </c>
      <c r="F160" s="174">
        <v>-15</v>
      </c>
      <c r="H160" s="174" t="s">
        <v>207</v>
      </c>
    </row>
    <row r="161" spans="1:8" x14ac:dyDescent="0.2">
      <c r="A161" s="174" t="s">
        <v>3920</v>
      </c>
      <c r="B161" s="174">
        <v>7</v>
      </c>
      <c r="D161" s="174" t="s">
        <v>3918</v>
      </c>
      <c r="E161" s="220" t="s">
        <v>3904</v>
      </c>
      <c r="F161" s="220">
        <v>-10</v>
      </c>
      <c r="G161" s="220"/>
      <c r="H161" s="174" t="s">
        <v>207</v>
      </c>
    </row>
    <row r="162" spans="1:8" x14ac:dyDescent="0.2">
      <c r="A162" s="174" t="s">
        <v>3922</v>
      </c>
      <c r="B162" s="174">
        <v>7</v>
      </c>
      <c r="C162" s="190" t="s">
        <v>3606</v>
      </c>
      <c r="D162" s="174" t="s">
        <v>3918</v>
      </c>
      <c r="E162" s="174" t="s">
        <v>3907</v>
      </c>
      <c r="F162" s="174">
        <v>-20</v>
      </c>
      <c r="H162" s="174" t="s">
        <v>207</v>
      </c>
    </row>
    <row r="163" spans="1:8" x14ac:dyDescent="0.2">
      <c r="A163" s="174" t="s">
        <v>3924</v>
      </c>
      <c r="B163" s="174">
        <v>8</v>
      </c>
      <c r="D163" s="174" t="s">
        <v>3918</v>
      </c>
      <c r="E163" s="174" t="s">
        <v>3909</v>
      </c>
      <c r="F163" s="174">
        <v>-20</v>
      </c>
      <c r="H163" s="174" t="s">
        <v>207</v>
      </c>
    </row>
    <row r="164" spans="1:8" x14ac:dyDescent="0.2">
      <c r="A164" s="174" t="s">
        <v>233</v>
      </c>
      <c r="B164" s="174">
        <v>8</v>
      </c>
      <c r="D164" s="174" t="s">
        <v>3918</v>
      </c>
      <c r="E164" s="174" t="s">
        <v>3911</v>
      </c>
      <c r="F164" s="174">
        <v>-7</v>
      </c>
      <c r="H164" s="174" t="s">
        <v>207</v>
      </c>
    </row>
    <row r="165" spans="1:8" x14ac:dyDescent="0.2">
      <c r="A165" s="174" t="s">
        <v>3927</v>
      </c>
      <c r="B165" s="174">
        <v>20</v>
      </c>
      <c r="C165" s="190" t="s">
        <v>4137</v>
      </c>
      <c r="D165" s="174" t="s">
        <v>3918</v>
      </c>
      <c r="E165" s="174" t="s">
        <v>3916</v>
      </c>
      <c r="F165" s="174">
        <v>-15</v>
      </c>
      <c r="H165" s="174" t="s">
        <v>207</v>
      </c>
    </row>
    <row r="166" spans="1:8" x14ac:dyDescent="0.2">
      <c r="A166" s="174" t="s">
        <v>3929</v>
      </c>
      <c r="B166" s="174">
        <v>7</v>
      </c>
      <c r="D166" s="174" t="s">
        <v>3918</v>
      </c>
      <c r="E166" s="174" t="s">
        <v>4146</v>
      </c>
      <c r="F166" s="174">
        <v>-10</v>
      </c>
      <c r="G166" s="174" t="s">
        <v>4147</v>
      </c>
      <c r="H166" s="174" t="s">
        <v>207</v>
      </c>
    </row>
    <row r="167" spans="1:8" x14ac:dyDescent="0.2">
      <c r="A167" s="174" t="s">
        <v>3931</v>
      </c>
      <c r="B167" s="174">
        <v>15</v>
      </c>
      <c r="D167" s="174" t="s">
        <v>3918</v>
      </c>
      <c r="E167" s="174" t="s">
        <v>3919</v>
      </c>
      <c r="F167" s="174">
        <v>-5</v>
      </c>
      <c r="H167" s="174" t="s">
        <v>207</v>
      </c>
    </row>
    <row r="168" spans="1:8" x14ac:dyDescent="0.2">
      <c r="A168" s="174" t="s">
        <v>3933</v>
      </c>
      <c r="B168" s="174">
        <v>15</v>
      </c>
      <c r="C168" s="190" t="s">
        <v>4164</v>
      </c>
      <c r="D168" s="174" t="s">
        <v>3918</v>
      </c>
      <c r="E168" s="174" t="s">
        <v>3921</v>
      </c>
      <c r="F168" s="174">
        <v>-10</v>
      </c>
      <c r="H168" s="174" t="s">
        <v>207</v>
      </c>
    </row>
    <row r="169" spans="1:8" x14ac:dyDescent="0.2">
      <c r="A169" s="174" t="s">
        <v>3935</v>
      </c>
      <c r="B169" s="174">
        <v>5</v>
      </c>
      <c r="D169" s="174" t="s">
        <v>3918</v>
      </c>
      <c r="E169" s="174" t="s">
        <v>3923</v>
      </c>
      <c r="F169" s="174">
        <v>-15</v>
      </c>
      <c r="H169" s="174" t="s">
        <v>207</v>
      </c>
    </row>
    <row r="170" spans="1:8" x14ac:dyDescent="0.2">
      <c r="A170" s="174" t="s">
        <v>3937</v>
      </c>
      <c r="B170" s="174">
        <v>3</v>
      </c>
      <c r="D170" s="174" t="s">
        <v>3918</v>
      </c>
      <c r="E170" s="174" t="s">
        <v>3925</v>
      </c>
      <c r="F170" s="174">
        <v>-5</v>
      </c>
      <c r="H170" s="174" t="s">
        <v>207</v>
      </c>
    </row>
    <row r="171" spans="1:8" x14ac:dyDescent="0.2">
      <c r="A171" s="174" t="s">
        <v>3940</v>
      </c>
      <c r="B171" s="174">
        <v>7</v>
      </c>
      <c r="D171" s="174" t="s">
        <v>3918</v>
      </c>
      <c r="E171" s="174" t="s">
        <v>3926</v>
      </c>
      <c r="F171" s="174">
        <v>-10</v>
      </c>
      <c r="H171" s="174" t="s">
        <v>207</v>
      </c>
    </row>
    <row r="172" spans="1:8" x14ac:dyDescent="0.2">
      <c r="A172" s="174" t="s">
        <v>3942</v>
      </c>
      <c r="B172" s="174">
        <v>25</v>
      </c>
      <c r="D172" s="174" t="s">
        <v>3918</v>
      </c>
      <c r="E172" s="174" t="s">
        <v>3928</v>
      </c>
      <c r="F172" s="174">
        <v>-20</v>
      </c>
      <c r="H172" s="174" t="s">
        <v>207</v>
      </c>
    </row>
    <row r="173" spans="1:8" x14ac:dyDescent="0.2">
      <c r="A173" s="174" t="s">
        <v>1591</v>
      </c>
      <c r="B173" s="174">
        <v>10</v>
      </c>
      <c r="D173" s="174" t="s">
        <v>3918</v>
      </c>
      <c r="E173" s="174" t="s">
        <v>3930</v>
      </c>
      <c r="F173" s="174">
        <v>-10</v>
      </c>
      <c r="H173" s="174" t="s">
        <v>207</v>
      </c>
    </row>
    <row r="174" spans="1:8" x14ac:dyDescent="0.2">
      <c r="A174" s="174" t="s">
        <v>3945</v>
      </c>
      <c r="B174" s="174">
        <v>8</v>
      </c>
      <c r="D174" s="174" t="s">
        <v>3918</v>
      </c>
      <c r="E174" s="174" t="s">
        <v>3932</v>
      </c>
      <c r="F174" s="174">
        <v>-15</v>
      </c>
      <c r="H174" s="174" t="s">
        <v>207</v>
      </c>
    </row>
    <row r="175" spans="1:8" x14ac:dyDescent="0.2">
      <c r="A175" s="174" t="s">
        <v>3947</v>
      </c>
      <c r="B175" s="174">
        <v>3</v>
      </c>
      <c r="D175" s="174" t="s">
        <v>3918</v>
      </c>
      <c r="E175" s="174" t="s">
        <v>3934</v>
      </c>
      <c r="F175" s="174">
        <v>-25</v>
      </c>
      <c r="H175" s="174" t="s">
        <v>207</v>
      </c>
    </row>
    <row r="176" spans="1:8" x14ac:dyDescent="0.2">
      <c r="A176" s="174" t="s">
        <v>3949</v>
      </c>
      <c r="B176" s="174">
        <v>5</v>
      </c>
      <c r="D176" s="174" t="s">
        <v>3918</v>
      </c>
      <c r="E176" s="174" t="s">
        <v>3936</v>
      </c>
      <c r="F176" s="174">
        <v>-5</v>
      </c>
      <c r="H176" s="174" t="s">
        <v>207</v>
      </c>
    </row>
    <row r="177" spans="1:8" x14ac:dyDescent="0.2">
      <c r="A177" s="174" t="s">
        <v>3951</v>
      </c>
      <c r="B177" s="174">
        <v>10</v>
      </c>
      <c r="D177" s="174" t="s">
        <v>3918</v>
      </c>
      <c r="E177" s="174" t="s">
        <v>3938</v>
      </c>
      <c r="F177" s="174">
        <v>-10</v>
      </c>
      <c r="H177" s="174" t="s">
        <v>207</v>
      </c>
    </row>
    <row r="178" spans="1:8" x14ac:dyDescent="0.2">
      <c r="A178" s="174" t="s">
        <v>3953</v>
      </c>
      <c r="B178" s="174">
        <v>7</v>
      </c>
      <c r="D178" s="174" t="s">
        <v>3918</v>
      </c>
      <c r="E178" s="174" t="s">
        <v>3939</v>
      </c>
      <c r="F178" s="174">
        <v>-15</v>
      </c>
      <c r="H178" s="174" t="s">
        <v>207</v>
      </c>
    </row>
    <row r="179" spans="1:8" x14ac:dyDescent="0.2">
      <c r="A179" s="174" t="s">
        <v>3955</v>
      </c>
      <c r="B179" s="174">
        <v>18</v>
      </c>
      <c r="D179" s="174" t="s">
        <v>3918</v>
      </c>
      <c r="E179" s="174" t="s">
        <v>3941</v>
      </c>
      <c r="F179" s="174">
        <v>-10</v>
      </c>
      <c r="H179" s="174" t="s">
        <v>207</v>
      </c>
    </row>
    <row r="180" spans="1:8" x14ac:dyDescent="0.2">
      <c r="A180" s="174" t="s">
        <v>3957</v>
      </c>
      <c r="B180" s="174">
        <v>25</v>
      </c>
      <c r="D180" s="174" t="s">
        <v>3918</v>
      </c>
      <c r="E180" s="174" t="s">
        <v>3943</v>
      </c>
      <c r="F180" s="174">
        <v>-10</v>
      </c>
      <c r="H180" s="174" t="s">
        <v>207</v>
      </c>
    </row>
    <row r="181" spans="1:8" x14ac:dyDescent="0.2">
      <c r="A181" s="174" t="s">
        <v>3959</v>
      </c>
      <c r="B181" s="174">
        <v>10</v>
      </c>
      <c r="D181" s="174" t="s">
        <v>3918</v>
      </c>
      <c r="E181" s="174" t="s">
        <v>3944</v>
      </c>
      <c r="F181" s="174">
        <v>-20</v>
      </c>
      <c r="H181" s="174" t="s">
        <v>207</v>
      </c>
    </row>
    <row r="182" spans="1:8" x14ac:dyDescent="0.2">
      <c r="A182" s="174" t="s">
        <v>3960</v>
      </c>
      <c r="B182" s="174">
        <v>10</v>
      </c>
      <c r="D182" s="174" t="s">
        <v>3918</v>
      </c>
      <c r="E182" s="174" t="s">
        <v>3946</v>
      </c>
      <c r="F182" s="174">
        <v>-30</v>
      </c>
      <c r="H182" s="174" t="s">
        <v>207</v>
      </c>
    </row>
    <row r="183" spans="1:8" x14ac:dyDescent="0.2">
      <c r="A183" s="185" t="s">
        <v>345</v>
      </c>
      <c r="B183" s="174" t="s">
        <v>345</v>
      </c>
      <c r="C183" s="190" t="s">
        <v>345</v>
      </c>
      <c r="D183" s="174" t="s">
        <v>345</v>
      </c>
      <c r="E183" s="174" t="s">
        <v>3948</v>
      </c>
      <c r="F183" s="174">
        <v>-10</v>
      </c>
      <c r="H183" s="174" t="s">
        <v>207</v>
      </c>
    </row>
    <row r="184" spans="1:8" x14ac:dyDescent="0.2">
      <c r="A184" s="182" t="s">
        <v>3961</v>
      </c>
      <c r="E184" s="174" t="s">
        <v>3950</v>
      </c>
      <c r="F184" s="174">
        <v>-10</v>
      </c>
      <c r="H184" s="174" t="s">
        <v>207</v>
      </c>
    </row>
    <row r="185" spans="1:8" x14ac:dyDescent="0.2">
      <c r="A185" s="174" t="s">
        <v>3962</v>
      </c>
      <c r="B185" s="174">
        <v>25</v>
      </c>
      <c r="D185" s="174" t="s">
        <v>3963</v>
      </c>
      <c r="E185" s="174" t="s">
        <v>3952</v>
      </c>
      <c r="F185" s="174">
        <v>-20</v>
      </c>
      <c r="H185" s="174" t="s">
        <v>207</v>
      </c>
    </row>
    <row r="186" spans="1:8" x14ac:dyDescent="0.2">
      <c r="A186" s="174" t="s">
        <v>3964</v>
      </c>
      <c r="B186" s="174">
        <v>7</v>
      </c>
      <c r="D186" s="174" t="s">
        <v>3963</v>
      </c>
      <c r="E186" s="174" t="s">
        <v>3954</v>
      </c>
      <c r="F186" s="174">
        <v>-10</v>
      </c>
      <c r="H186" s="174" t="s">
        <v>207</v>
      </c>
    </row>
    <row r="187" spans="1:8" x14ac:dyDescent="0.2">
      <c r="A187" s="174" t="s">
        <v>3965</v>
      </c>
      <c r="B187" s="174">
        <v>30</v>
      </c>
      <c r="D187" s="174" t="s">
        <v>3963</v>
      </c>
      <c r="E187" s="174" t="s">
        <v>3956</v>
      </c>
      <c r="F187" s="174">
        <v>-5</v>
      </c>
      <c r="H187" s="174" t="s">
        <v>207</v>
      </c>
    </row>
    <row r="188" spans="1:8" x14ac:dyDescent="0.2">
      <c r="A188" s="174" t="s">
        <v>3966</v>
      </c>
      <c r="B188" s="174">
        <v>20</v>
      </c>
      <c r="D188" s="174" t="s">
        <v>3963</v>
      </c>
      <c r="E188" s="174" t="s">
        <v>3958</v>
      </c>
      <c r="F188" s="174">
        <v>-20</v>
      </c>
      <c r="H188" s="174" t="s">
        <v>207</v>
      </c>
    </row>
    <row r="189" spans="1:8" x14ac:dyDescent="0.2">
      <c r="A189" s="174" t="s">
        <v>3967</v>
      </c>
      <c r="B189" s="174">
        <v>50</v>
      </c>
      <c r="D189" s="174" t="s">
        <v>3963</v>
      </c>
    </row>
    <row r="190" spans="1:8" x14ac:dyDescent="0.2">
      <c r="A190" s="174" t="s">
        <v>3968</v>
      </c>
      <c r="B190" s="174">
        <v>13</v>
      </c>
      <c r="C190" s="190" t="s">
        <v>3969</v>
      </c>
      <c r="D190" s="174" t="s">
        <v>3963</v>
      </c>
    </row>
    <row r="191" spans="1:8" x14ac:dyDescent="0.2">
      <c r="A191" s="174" t="s">
        <v>3970</v>
      </c>
      <c r="B191" s="174">
        <v>15</v>
      </c>
      <c r="C191" s="190" t="s">
        <v>3971</v>
      </c>
      <c r="D191" s="174" t="s">
        <v>3963</v>
      </c>
    </row>
    <row r="192" spans="1:8" x14ac:dyDescent="0.2">
      <c r="A192" s="174" t="s">
        <v>3972</v>
      </c>
      <c r="B192" s="174">
        <v>25</v>
      </c>
      <c r="C192" s="190" t="s">
        <v>3973</v>
      </c>
      <c r="D192" s="174" t="s">
        <v>3963</v>
      </c>
    </row>
    <row r="193" spans="1:4" x14ac:dyDescent="0.2">
      <c r="A193" s="174" t="s">
        <v>3974</v>
      </c>
      <c r="B193" s="174">
        <v>15</v>
      </c>
      <c r="C193" s="190" t="s">
        <v>3975</v>
      </c>
      <c r="D193" s="174" t="s">
        <v>3963</v>
      </c>
    </row>
    <row r="194" spans="1:4" x14ac:dyDescent="0.2">
      <c r="A194" s="174" t="s">
        <v>3976</v>
      </c>
      <c r="B194" s="174">
        <v>25</v>
      </c>
      <c r="D194" s="174" t="s">
        <v>3963</v>
      </c>
    </row>
    <row r="195" spans="1:4" x14ac:dyDescent="0.2">
      <c r="A195" s="174" t="s">
        <v>3977</v>
      </c>
      <c r="B195" s="174">
        <v>30</v>
      </c>
      <c r="D195" s="174" t="s">
        <v>3963</v>
      </c>
    </row>
    <row r="196" spans="1:4" x14ac:dyDescent="0.2">
      <c r="A196" s="174" t="s">
        <v>3978</v>
      </c>
      <c r="B196" s="174">
        <v>18</v>
      </c>
      <c r="C196" s="190" t="s">
        <v>3979</v>
      </c>
      <c r="D196" s="174" t="s">
        <v>3963</v>
      </c>
    </row>
    <row r="197" spans="1:4" x14ac:dyDescent="0.2">
      <c r="A197" s="174" t="s">
        <v>3980</v>
      </c>
      <c r="B197" s="174">
        <v>40</v>
      </c>
      <c r="D197" s="174" t="s">
        <v>3963</v>
      </c>
    </row>
    <row r="198" spans="1:4" x14ac:dyDescent="0.2">
      <c r="A198" s="174" t="s">
        <v>3981</v>
      </c>
      <c r="B198" s="174">
        <v>15</v>
      </c>
      <c r="D198" s="174" t="s">
        <v>3963</v>
      </c>
    </row>
    <row r="199" spans="1:4" x14ac:dyDescent="0.2">
      <c r="A199" s="174" t="s">
        <v>3982</v>
      </c>
      <c r="B199" s="174">
        <v>5</v>
      </c>
      <c r="C199" s="190" t="s">
        <v>3983</v>
      </c>
      <c r="D199" s="174" t="s">
        <v>3963</v>
      </c>
    </row>
    <row r="200" spans="1:4" x14ac:dyDescent="0.2">
      <c r="A200" s="174" t="s">
        <v>3984</v>
      </c>
      <c r="B200" s="174">
        <v>10</v>
      </c>
      <c r="C200" s="190" t="s">
        <v>3985</v>
      </c>
      <c r="D200" s="174" t="s">
        <v>3963</v>
      </c>
    </row>
    <row r="201" spans="1:4" x14ac:dyDescent="0.2">
      <c r="A201" s="174" t="s">
        <v>3986</v>
      </c>
      <c r="B201" s="174">
        <v>15</v>
      </c>
      <c r="C201" s="190" t="s">
        <v>3987</v>
      </c>
      <c r="D201" s="174" t="s">
        <v>3963</v>
      </c>
    </row>
    <row r="202" spans="1:4" x14ac:dyDescent="0.2">
      <c r="A202" s="174" t="s">
        <v>3988</v>
      </c>
      <c r="B202" s="174">
        <v>20</v>
      </c>
      <c r="C202" s="190" t="s">
        <v>3989</v>
      </c>
      <c r="D202" s="174" t="s">
        <v>3963</v>
      </c>
    </row>
    <row r="203" spans="1:4" x14ac:dyDescent="0.2">
      <c r="A203" s="174" t="s">
        <v>3990</v>
      </c>
      <c r="B203" s="174">
        <v>5</v>
      </c>
      <c r="C203" s="190" t="s">
        <v>3991</v>
      </c>
      <c r="D203" s="174" t="s">
        <v>3963</v>
      </c>
    </row>
    <row r="204" spans="1:4" x14ac:dyDescent="0.2">
      <c r="A204" s="174" t="s">
        <v>3992</v>
      </c>
      <c r="B204" s="174">
        <v>10</v>
      </c>
      <c r="C204" s="190" t="s">
        <v>3993</v>
      </c>
      <c r="D204" s="174" t="s">
        <v>3963</v>
      </c>
    </row>
    <row r="205" spans="1:4" x14ac:dyDescent="0.2">
      <c r="A205" s="174" t="s">
        <v>3994</v>
      </c>
      <c r="B205" s="174">
        <v>15</v>
      </c>
      <c r="C205" s="190" t="s">
        <v>3995</v>
      </c>
      <c r="D205" s="174" t="s">
        <v>3963</v>
      </c>
    </row>
    <row r="206" spans="1:4" x14ac:dyDescent="0.2">
      <c r="A206" s="174" t="s">
        <v>3996</v>
      </c>
      <c r="B206" s="174">
        <v>10</v>
      </c>
      <c r="C206" s="190" t="s">
        <v>3997</v>
      </c>
      <c r="D206" s="174" t="s">
        <v>3963</v>
      </c>
    </row>
    <row r="207" spans="1:4" x14ac:dyDescent="0.2">
      <c r="A207" s="174" t="s">
        <v>3998</v>
      </c>
      <c r="B207" s="174">
        <v>5</v>
      </c>
      <c r="D207" s="174" t="s">
        <v>3963</v>
      </c>
    </row>
    <row r="208" spans="1:4" x14ac:dyDescent="0.2">
      <c r="A208" s="174" t="s">
        <v>3999</v>
      </c>
      <c r="B208" s="174">
        <v>13</v>
      </c>
      <c r="D208" s="174" t="s">
        <v>3963</v>
      </c>
    </row>
    <row r="209" spans="1:4" x14ac:dyDescent="0.2">
      <c r="A209" s="174" t="s">
        <v>4000</v>
      </c>
      <c r="B209" s="174">
        <v>15</v>
      </c>
      <c r="C209" s="190" t="s">
        <v>4165</v>
      </c>
      <c r="D209" s="174" t="s">
        <v>3963</v>
      </c>
    </row>
    <row r="210" spans="1:4" x14ac:dyDescent="0.2">
      <c r="A210" s="174" t="s">
        <v>4001</v>
      </c>
      <c r="B210" s="174">
        <v>30</v>
      </c>
      <c r="C210" s="190" t="s">
        <v>4166</v>
      </c>
      <c r="D210" s="174" t="s">
        <v>3963</v>
      </c>
    </row>
    <row r="211" spans="1:4" x14ac:dyDescent="0.2">
      <c r="A211" s="174" t="s">
        <v>4002</v>
      </c>
      <c r="B211" s="174">
        <v>5</v>
      </c>
      <c r="D211" s="174" t="s">
        <v>3963</v>
      </c>
    </row>
    <row r="212" spans="1:4" x14ac:dyDescent="0.2">
      <c r="A212" s="174" t="s">
        <v>4003</v>
      </c>
      <c r="B212" s="174">
        <v>25</v>
      </c>
      <c r="C212" s="190" t="s">
        <v>4004</v>
      </c>
      <c r="D212" s="174" t="s">
        <v>3963</v>
      </c>
    </row>
    <row r="213" spans="1:4" x14ac:dyDescent="0.2">
      <c r="A213" s="174" t="s">
        <v>4005</v>
      </c>
      <c r="B213" s="174">
        <v>18</v>
      </c>
      <c r="D213" s="174" t="s">
        <v>3963</v>
      </c>
    </row>
    <row r="214" spans="1:4" x14ac:dyDescent="0.2">
      <c r="A214" s="174" t="s">
        <v>4006</v>
      </c>
      <c r="B214" s="174">
        <v>10</v>
      </c>
      <c r="C214" s="190" t="s">
        <v>4007</v>
      </c>
      <c r="D214" s="174" t="s">
        <v>3963</v>
      </c>
    </row>
    <row r="215" spans="1:4" x14ac:dyDescent="0.2">
      <c r="A215" s="174" t="s">
        <v>4008</v>
      </c>
      <c r="B215" s="174">
        <v>20</v>
      </c>
      <c r="C215" s="190" t="s">
        <v>4007</v>
      </c>
      <c r="D215" s="174" t="s">
        <v>3963</v>
      </c>
    </row>
    <row r="216" spans="1:4" x14ac:dyDescent="0.2">
      <c r="A216" s="174" t="s">
        <v>4009</v>
      </c>
      <c r="B216" s="174">
        <v>5</v>
      </c>
      <c r="D216" s="174" t="s">
        <v>3963</v>
      </c>
    </row>
    <row r="217" spans="1:4" x14ac:dyDescent="0.2">
      <c r="A217" s="174" t="s">
        <v>4010</v>
      </c>
      <c r="B217" s="174">
        <v>10</v>
      </c>
      <c r="D217" s="174" t="s">
        <v>3963</v>
      </c>
    </row>
    <row r="218" spans="1:4" x14ac:dyDescent="0.2">
      <c r="A218" s="174" t="s">
        <v>4011</v>
      </c>
      <c r="B218" s="174">
        <v>20</v>
      </c>
      <c r="D218" s="174" t="s">
        <v>3963</v>
      </c>
    </row>
    <row r="219" spans="1:4" x14ac:dyDescent="0.2">
      <c r="A219" s="174" t="s">
        <v>4012</v>
      </c>
      <c r="B219" s="174">
        <v>30</v>
      </c>
      <c r="D219" s="174" t="s">
        <v>3963</v>
      </c>
    </row>
    <row r="220" spans="1:4" x14ac:dyDescent="0.2">
      <c r="A220" s="174" t="s">
        <v>4013</v>
      </c>
      <c r="B220" s="174">
        <v>15</v>
      </c>
      <c r="D220" s="174" t="s">
        <v>3963</v>
      </c>
    </row>
    <row r="221" spans="1:4" x14ac:dyDescent="0.2">
      <c r="C221" s="174"/>
    </row>
    <row r="222" spans="1:4" x14ac:dyDescent="0.2">
      <c r="A222" s="182" t="s">
        <v>4014</v>
      </c>
      <c r="D222" s="174" t="s">
        <v>4015</v>
      </c>
    </row>
    <row r="223" spans="1:4" x14ac:dyDescent="0.2">
      <c r="A223" s="174" t="s">
        <v>4016</v>
      </c>
      <c r="B223" s="174">
        <v>5</v>
      </c>
      <c r="C223" s="190" t="s">
        <v>4017</v>
      </c>
      <c r="D223" s="174" t="s">
        <v>4015</v>
      </c>
    </row>
    <row r="224" spans="1:4" x14ac:dyDescent="0.2">
      <c r="A224" s="174" t="s">
        <v>4018</v>
      </c>
      <c r="B224" s="174">
        <v>7</v>
      </c>
      <c r="C224" s="190" t="s">
        <v>4019</v>
      </c>
      <c r="D224" s="174" t="s">
        <v>4015</v>
      </c>
    </row>
    <row r="225" spans="1:4" x14ac:dyDescent="0.2">
      <c r="A225" s="174" t="s">
        <v>4020</v>
      </c>
      <c r="B225" s="174">
        <v>10</v>
      </c>
      <c r="C225" s="190" t="s">
        <v>4021</v>
      </c>
      <c r="D225" s="174" t="s">
        <v>4015</v>
      </c>
    </row>
    <row r="226" spans="1:4" x14ac:dyDescent="0.2">
      <c r="A226" s="174" t="s">
        <v>4022</v>
      </c>
      <c r="B226" s="174">
        <v>15</v>
      </c>
      <c r="C226" s="190" t="s">
        <v>4023</v>
      </c>
      <c r="D226" s="174" t="s">
        <v>4015</v>
      </c>
    </row>
    <row r="227" spans="1:4" x14ac:dyDescent="0.2">
      <c r="A227" s="174" t="s">
        <v>4024</v>
      </c>
      <c r="B227" s="174">
        <v>17</v>
      </c>
      <c r="C227" s="190" t="s">
        <v>4025</v>
      </c>
      <c r="D227" s="174" t="s">
        <v>4015</v>
      </c>
    </row>
    <row r="228" spans="1:4" x14ac:dyDescent="0.2">
      <c r="A228" s="174" t="s">
        <v>4026</v>
      </c>
      <c r="B228" s="174">
        <v>20</v>
      </c>
      <c r="C228" s="190" t="s">
        <v>4027</v>
      </c>
      <c r="D228" s="174" t="s">
        <v>4015</v>
      </c>
    </row>
    <row r="229" spans="1:4" x14ac:dyDescent="0.2">
      <c r="A229" s="174" t="s">
        <v>4028</v>
      </c>
      <c r="B229" s="174">
        <v>25</v>
      </c>
      <c r="C229" s="190" t="s">
        <v>4029</v>
      </c>
      <c r="D229" s="174" t="s">
        <v>4015</v>
      </c>
    </row>
    <row r="230" spans="1:4" x14ac:dyDescent="0.2">
      <c r="A230" s="174" t="s">
        <v>4030</v>
      </c>
      <c r="B230" s="174">
        <v>40</v>
      </c>
      <c r="C230" s="190" t="s">
        <v>4031</v>
      </c>
      <c r="D230" s="174" t="s">
        <v>4015</v>
      </c>
    </row>
    <row r="231" spans="1:4" x14ac:dyDescent="0.2">
      <c r="A231" s="174" t="s">
        <v>4032</v>
      </c>
      <c r="B231" s="174">
        <v>5</v>
      </c>
      <c r="D231" s="174" t="s">
        <v>4015</v>
      </c>
    </row>
    <row r="232" spans="1:4" x14ac:dyDescent="0.2">
      <c r="A232" s="174" t="s">
        <v>4033</v>
      </c>
      <c r="B232" s="174">
        <v>7</v>
      </c>
      <c r="D232" s="174" t="s">
        <v>4015</v>
      </c>
    </row>
    <row r="233" spans="1:4" x14ac:dyDescent="0.2">
      <c r="A233" s="174" t="s">
        <v>4034</v>
      </c>
      <c r="B233" s="174">
        <v>10</v>
      </c>
      <c r="D233" s="174" t="s">
        <v>4015</v>
      </c>
    </row>
    <row r="234" spans="1:4" x14ac:dyDescent="0.2">
      <c r="A234" s="174" t="s">
        <v>4035</v>
      </c>
      <c r="B234" s="174">
        <v>15</v>
      </c>
      <c r="D234" s="174" t="s">
        <v>4015</v>
      </c>
    </row>
    <row r="235" spans="1:4" x14ac:dyDescent="0.2">
      <c r="A235" s="174" t="s">
        <v>4036</v>
      </c>
      <c r="B235" s="174">
        <v>17</v>
      </c>
      <c r="D235" s="174" t="s">
        <v>4015</v>
      </c>
    </row>
    <row r="236" spans="1:4" x14ac:dyDescent="0.2">
      <c r="A236" s="174" t="s">
        <v>4037</v>
      </c>
      <c r="B236" s="174">
        <v>20</v>
      </c>
      <c r="D236" s="174" t="s">
        <v>4015</v>
      </c>
    </row>
    <row r="237" spans="1:4" x14ac:dyDescent="0.2">
      <c r="A237" s="174" t="s">
        <v>4038</v>
      </c>
      <c r="B237" s="174">
        <v>25</v>
      </c>
      <c r="D237" s="174" t="s">
        <v>4015</v>
      </c>
    </row>
    <row r="238" spans="1:4" x14ac:dyDescent="0.2">
      <c r="A238" s="174" t="s">
        <v>4039</v>
      </c>
      <c r="B238" s="174">
        <v>40</v>
      </c>
      <c r="D238" s="174" t="s">
        <v>4015</v>
      </c>
    </row>
    <row r="239" spans="1:4" x14ac:dyDescent="0.2">
      <c r="A239" s="174" t="s">
        <v>4040</v>
      </c>
      <c r="B239" s="174">
        <v>5</v>
      </c>
      <c r="D239" s="174" t="s">
        <v>4015</v>
      </c>
    </row>
    <row r="240" spans="1:4" x14ac:dyDescent="0.2">
      <c r="A240" s="174" t="s">
        <v>4041</v>
      </c>
      <c r="B240" s="174">
        <v>15</v>
      </c>
      <c r="D240" s="174" t="s">
        <v>4015</v>
      </c>
    </row>
    <row r="241" spans="1:4" x14ac:dyDescent="0.2">
      <c r="A241" s="174" t="s">
        <v>4042</v>
      </c>
      <c r="B241" s="174">
        <v>3</v>
      </c>
      <c r="D241" s="174" t="s">
        <v>4015</v>
      </c>
    </row>
    <row r="242" spans="1:4" x14ac:dyDescent="0.2">
      <c r="A242" s="174" t="s">
        <v>4043</v>
      </c>
      <c r="B242" s="174">
        <v>7</v>
      </c>
      <c r="D242" s="174" t="s">
        <v>4015</v>
      </c>
    </row>
    <row r="243" spans="1:4" x14ac:dyDescent="0.2">
      <c r="A243" s="174" t="s">
        <v>4044</v>
      </c>
      <c r="B243" s="174">
        <v>3</v>
      </c>
      <c r="D243" s="174" t="s">
        <v>4015</v>
      </c>
    </row>
    <row r="244" spans="1:4" x14ac:dyDescent="0.2">
      <c r="A244" s="174" t="s">
        <v>4045</v>
      </c>
      <c r="B244" s="174">
        <v>7</v>
      </c>
      <c r="D244" s="174" t="s">
        <v>4015</v>
      </c>
    </row>
    <row r="245" spans="1:4" x14ac:dyDescent="0.2">
      <c r="A245" s="174" t="s">
        <v>4046</v>
      </c>
      <c r="B245" s="207" t="s">
        <v>1009</v>
      </c>
      <c r="D245" s="174" t="s">
        <v>4015</v>
      </c>
    </row>
    <row r="246" spans="1:4" x14ac:dyDescent="0.2">
      <c r="A246" s="174" t="s">
        <v>4047</v>
      </c>
      <c r="B246" s="174">
        <v>5</v>
      </c>
      <c r="C246" s="190" t="s">
        <v>4048</v>
      </c>
      <c r="D246" s="174" t="s">
        <v>4015</v>
      </c>
    </row>
    <row r="247" spans="1:4" x14ac:dyDescent="0.2">
      <c r="A247" s="174" t="s">
        <v>4049</v>
      </c>
      <c r="B247" s="174">
        <v>10</v>
      </c>
      <c r="C247" s="190" t="s">
        <v>4048</v>
      </c>
      <c r="D247" s="174" t="s">
        <v>4015</v>
      </c>
    </row>
    <row r="248" spans="1:4" x14ac:dyDescent="0.2">
      <c r="A248" s="174" t="s">
        <v>4050</v>
      </c>
      <c r="B248" s="174">
        <v>15</v>
      </c>
      <c r="C248" s="190" t="s">
        <v>4048</v>
      </c>
      <c r="D248" s="174" t="s">
        <v>4015</v>
      </c>
    </row>
    <row r="249" spans="1:4" x14ac:dyDescent="0.2">
      <c r="A249" s="174" t="s">
        <v>4051</v>
      </c>
      <c r="B249" s="174">
        <v>20</v>
      </c>
      <c r="C249" s="190" t="s">
        <v>4048</v>
      </c>
      <c r="D249" s="174" t="s">
        <v>4015</v>
      </c>
    </row>
    <row r="250" spans="1:4" x14ac:dyDescent="0.2">
      <c r="A250" s="174" t="s">
        <v>4052</v>
      </c>
      <c r="B250" s="174">
        <v>30</v>
      </c>
      <c r="C250" s="190" t="s">
        <v>4048</v>
      </c>
      <c r="D250" s="174" t="s">
        <v>4015</v>
      </c>
    </row>
    <row r="251" spans="1:4" x14ac:dyDescent="0.2">
      <c r="C251" s="174"/>
    </row>
    <row r="252" spans="1:4" x14ac:dyDescent="0.2">
      <c r="C252" s="174"/>
    </row>
    <row r="253" spans="1:4" x14ac:dyDescent="0.2">
      <c r="C253" s="174"/>
    </row>
    <row r="254" spans="1:4" x14ac:dyDescent="0.2">
      <c r="C254" s="174"/>
    </row>
    <row r="255" spans="1:4" x14ac:dyDescent="0.2">
      <c r="C255" s="174"/>
    </row>
    <row r="256" spans="1:4" x14ac:dyDescent="0.2">
      <c r="C256" s="174"/>
    </row>
    <row r="257" spans="3:3" x14ac:dyDescent="0.2">
      <c r="C257" s="174"/>
    </row>
    <row r="258" spans="3:3" x14ac:dyDescent="0.2">
      <c r="C258" s="174"/>
    </row>
    <row r="259" spans="3:3" x14ac:dyDescent="0.2">
      <c r="C259" s="174"/>
    </row>
    <row r="260" spans="3:3" x14ac:dyDescent="0.2">
      <c r="C260" s="174"/>
    </row>
    <row r="261" spans="3:3" x14ac:dyDescent="0.2">
      <c r="C261" s="174"/>
    </row>
    <row r="262" spans="3:3" x14ac:dyDescent="0.2">
      <c r="C262" s="174"/>
    </row>
    <row r="263" spans="3:3" x14ac:dyDescent="0.2">
      <c r="C263" s="174"/>
    </row>
    <row r="264" spans="3:3" x14ac:dyDescent="0.2">
      <c r="C264" s="174"/>
    </row>
    <row r="265" spans="3:3" x14ac:dyDescent="0.2">
      <c r="C265" s="174"/>
    </row>
    <row r="266" spans="3:3" x14ac:dyDescent="0.2">
      <c r="C266" s="174"/>
    </row>
    <row r="267" spans="3:3" x14ac:dyDescent="0.2">
      <c r="C267" s="174"/>
    </row>
    <row r="268" spans="3:3" x14ac:dyDescent="0.2">
      <c r="C268" s="174"/>
    </row>
    <row r="269" spans="3:3" x14ac:dyDescent="0.2">
      <c r="C269" s="174"/>
    </row>
    <row r="270" spans="3:3" x14ac:dyDescent="0.2">
      <c r="C270" s="174"/>
    </row>
    <row r="271" spans="3:3" x14ac:dyDescent="0.2">
      <c r="C271" s="174"/>
    </row>
    <row r="272" spans="3:3" x14ac:dyDescent="0.2">
      <c r="C272" s="174"/>
    </row>
    <row r="273" spans="3:3" x14ac:dyDescent="0.2">
      <c r="C273" s="174"/>
    </row>
    <row r="274" spans="3:3" x14ac:dyDescent="0.2">
      <c r="C274" s="174"/>
    </row>
    <row r="275" spans="3:3" x14ac:dyDescent="0.2">
      <c r="C275" s="174"/>
    </row>
    <row r="276" spans="3:3" x14ac:dyDescent="0.2">
      <c r="C276" s="174"/>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Roman,Normaali"&amp;12&amp;A</oddHeader>
    <oddFooter>&amp;C&amp;"Times New Roman,Normaali"&amp;12Sivu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workbookViewId="0">
      <selection activeCell="C13" sqref="C13"/>
    </sheetView>
  </sheetViews>
  <sheetFormatPr defaultColWidth="11.5703125" defaultRowHeight="9.75" x14ac:dyDescent="0.2"/>
  <cols>
    <col min="1" max="1" width="9.7109375" style="174" customWidth="1"/>
    <col min="2" max="2" width="6.7109375" style="174" customWidth="1"/>
    <col min="3" max="3" width="8.42578125" style="174" bestFit="1" customWidth="1"/>
    <col min="4" max="16384" width="11.5703125" style="174"/>
  </cols>
  <sheetData>
    <row r="1" spans="1:13" x14ac:dyDescent="0.2">
      <c r="A1" s="174" t="s">
        <v>1163</v>
      </c>
      <c r="B1" s="174" t="s">
        <v>208</v>
      </c>
      <c r="E1" s="174" t="s">
        <v>4053</v>
      </c>
      <c r="F1" s="185">
        <v>2</v>
      </c>
      <c r="G1" s="185">
        <v>3</v>
      </c>
      <c r="H1" s="185">
        <v>4</v>
      </c>
      <c r="I1" s="185">
        <v>5</v>
      </c>
      <c r="J1" s="185">
        <v>6</v>
      </c>
      <c r="K1" s="185">
        <v>7</v>
      </c>
      <c r="L1" s="185">
        <v>8</v>
      </c>
      <c r="M1" s="185">
        <v>9</v>
      </c>
    </row>
    <row r="2" spans="1:13" x14ac:dyDescent="0.2">
      <c r="A2" s="174">
        <v>1</v>
      </c>
      <c r="B2" s="174" t="s">
        <v>1049</v>
      </c>
      <c r="C2" s="174">
        <v>2</v>
      </c>
      <c r="E2" s="185">
        <v>1</v>
      </c>
      <c r="F2" s="174" t="s">
        <v>960</v>
      </c>
      <c r="G2" s="174" t="s">
        <v>911</v>
      </c>
      <c r="H2" s="174" t="s">
        <v>895</v>
      </c>
      <c r="I2" s="174" t="s">
        <v>975</v>
      </c>
      <c r="J2" s="174" t="s">
        <v>937</v>
      </c>
      <c r="K2" s="174" t="s">
        <v>949</v>
      </c>
      <c r="L2" s="174" t="s">
        <v>899</v>
      </c>
      <c r="M2" s="174" t="s">
        <v>897</v>
      </c>
    </row>
    <row r="3" spans="1:13" x14ac:dyDescent="0.2">
      <c r="A3" s="174">
        <v>4</v>
      </c>
      <c r="B3" s="174" t="s">
        <v>911</v>
      </c>
      <c r="C3" s="174">
        <v>3</v>
      </c>
      <c r="E3" s="185">
        <v>2</v>
      </c>
      <c r="F3" s="174" t="s">
        <v>960</v>
      </c>
      <c r="G3" s="174" t="s">
        <v>911</v>
      </c>
      <c r="H3" s="174" t="s">
        <v>895</v>
      </c>
      <c r="I3" s="174" t="s">
        <v>975</v>
      </c>
      <c r="J3" s="174" t="s">
        <v>937</v>
      </c>
      <c r="K3" s="174" t="s">
        <v>949</v>
      </c>
      <c r="L3" s="174" t="s">
        <v>899</v>
      </c>
      <c r="M3" s="174" t="s">
        <v>897</v>
      </c>
    </row>
    <row r="4" spans="1:13" x14ac:dyDescent="0.2">
      <c r="A4" s="174">
        <v>9</v>
      </c>
      <c r="B4" s="174" t="s">
        <v>895</v>
      </c>
      <c r="C4" s="174">
        <v>4</v>
      </c>
      <c r="E4" s="185">
        <v>3</v>
      </c>
      <c r="F4" s="174" t="s">
        <v>960</v>
      </c>
      <c r="G4" s="174" t="s">
        <v>911</v>
      </c>
      <c r="H4" s="174" t="s">
        <v>895</v>
      </c>
      <c r="I4" s="174" t="s">
        <v>975</v>
      </c>
      <c r="J4" s="174" t="s">
        <v>937</v>
      </c>
      <c r="K4" s="174" t="s">
        <v>949</v>
      </c>
      <c r="L4" s="174" t="s">
        <v>899</v>
      </c>
      <c r="M4" s="174" t="s">
        <v>897</v>
      </c>
    </row>
    <row r="5" spans="1:13" x14ac:dyDescent="0.2">
      <c r="A5" s="174">
        <v>22</v>
      </c>
      <c r="B5" s="174" t="s">
        <v>975</v>
      </c>
      <c r="C5" s="174">
        <v>5</v>
      </c>
      <c r="E5" s="185">
        <v>4</v>
      </c>
      <c r="F5" s="174" t="s">
        <v>960</v>
      </c>
      <c r="G5" s="174" t="s">
        <v>911</v>
      </c>
      <c r="H5" s="174" t="s">
        <v>895</v>
      </c>
      <c r="I5" s="174" t="s">
        <v>975</v>
      </c>
      <c r="J5" s="174" t="s">
        <v>937</v>
      </c>
      <c r="K5" s="174" t="s">
        <v>949</v>
      </c>
      <c r="L5" s="174" t="s">
        <v>899</v>
      </c>
      <c r="M5" s="174" t="s">
        <v>897</v>
      </c>
    </row>
    <row r="6" spans="1:13" x14ac:dyDescent="0.2">
      <c r="A6" s="174">
        <v>26</v>
      </c>
      <c r="B6" s="174" t="s">
        <v>936</v>
      </c>
      <c r="C6" s="174">
        <v>6</v>
      </c>
      <c r="E6" s="185">
        <v>5</v>
      </c>
      <c r="F6" s="174" t="s">
        <v>960</v>
      </c>
      <c r="G6" s="174" t="s">
        <v>911</v>
      </c>
      <c r="H6" s="174" t="s">
        <v>895</v>
      </c>
      <c r="I6" s="174" t="s">
        <v>975</v>
      </c>
      <c r="J6" s="174" t="s">
        <v>937</v>
      </c>
      <c r="K6" s="174" t="s">
        <v>949</v>
      </c>
      <c r="L6" s="174" t="s">
        <v>899</v>
      </c>
      <c r="M6" s="174" t="s">
        <v>897</v>
      </c>
    </row>
    <row r="7" spans="1:13" x14ac:dyDescent="0.2">
      <c r="A7" s="174">
        <v>40</v>
      </c>
      <c r="B7" s="174" t="s">
        <v>4054</v>
      </c>
      <c r="C7" s="174">
        <v>7</v>
      </c>
      <c r="E7" s="185">
        <v>6</v>
      </c>
      <c r="F7" s="174" t="s">
        <v>960</v>
      </c>
      <c r="G7" s="174" t="s">
        <v>911</v>
      </c>
      <c r="H7" s="174" t="s">
        <v>895</v>
      </c>
      <c r="I7" s="174" t="s">
        <v>975</v>
      </c>
      <c r="J7" s="174" t="s">
        <v>937</v>
      </c>
      <c r="K7" s="174" t="s">
        <v>178</v>
      </c>
      <c r="L7" s="174" t="s">
        <v>899</v>
      </c>
      <c r="M7" s="174" t="s">
        <v>897</v>
      </c>
    </row>
    <row r="8" spans="1:13" x14ac:dyDescent="0.2">
      <c r="A8" s="174">
        <v>66</v>
      </c>
      <c r="B8" s="174" t="s">
        <v>899</v>
      </c>
      <c r="C8" s="174">
        <v>8</v>
      </c>
      <c r="E8" s="185">
        <v>7</v>
      </c>
      <c r="F8" s="174" t="s">
        <v>960</v>
      </c>
      <c r="G8" s="174" t="s">
        <v>911</v>
      </c>
      <c r="H8" s="174" t="s">
        <v>895</v>
      </c>
      <c r="I8" s="174" t="s">
        <v>975</v>
      </c>
      <c r="J8" s="174" t="s">
        <v>937</v>
      </c>
      <c r="K8" s="174" t="s">
        <v>178</v>
      </c>
      <c r="L8" s="174" t="s">
        <v>899</v>
      </c>
      <c r="M8" s="174" t="s">
        <v>897</v>
      </c>
    </row>
    <row r="9" spans="1:13" x14ac:dyDescent="0.2">
      <c r="A9" s="174">
        <v>67</v>
      </c>
      <c r="B9" s="174" t="s">
        <v>4054</v>
      </c>
      <c r="C9" s="174">
        <v>7</v>
      </c>
      <c r="E9" s="185">
        <v>8</v>
      </c>
      <c r="F9" s="174" t="s">
        <v>960</v>
      </c>
      <c r="G9" s="174" t="s">
        <v>911</v>
      </c>
      <c r="H9" s="174" t="s">
        <v>895</v>
      </c>
      <c r="I9" s="174" t="s">
        <v>975</v>
      </c>
      <c r="J9" s="174" t="s">
        <v>937</v>
      </c>
      <c r="K9" s="174" t="s">
        <v>178</v>
      </c>
      <c r="L9" s="174" t="s">
        <v>899</v>
      </c>
      <c r="M9" s="174" t="s">
        <v>897</v>
      </c>
    </row>
    <row r="10" spans="1:13" x14ac:dyDescent="0.2">
      <c r="A10" s="174">
        <v>90</v>
      </c>
      <c r="B10" s="174" t="s">
        <v>4055</v>
      </c>
      <c r="C10" s="174">
        <v>9</v>
      </c>
      <c r="E10" s="185">
        <v>9</v>
      </c>
      <c r="F10" s="174" t="s">
        <v>960</v>
      </c>
      <c r="G10" s="174" t="s">
        <v>911</v>
      </c>
      <c r="H10" s="174" t="s">
        <v>895</v>
      </c>
      <c r="I10" s="174" t="s">
        <v>975</v>
      </c>
      <c r="J10" s="174" t="s">
        <v>937</v>
      </c>
      <c r="K10" s="174" t="s">
        <v>178</v>
      </c>
      <c r="L10" s="174" t="s">
        <v>899</v>
      </c>
      <c r="M10" s="174" t="s">
        <v>897</v>
      </c>
    </row>
    <row r="11" spans="1:13" x14ac:dyDescent="0.2">
      <c r="E11" s="185">
        <v>10</v>
      </c>
      <c r="F11" s="174" t="s">
        <v>960</v>
      </c>
      <c r="G11" s="174" t="s">
        <v>911</v>
      </c>
      <c r="H11" s="174" t="s">
        <v>895</v>
      </c>
      <c r="I11" s="174" t="s">
        <v>975</v>
      </c>
      <c r="J11" s="174" t="s">
        <v>943</v>
      </c>
      <c r="K11" s="174" t="s">
        <v>178</v>
      </c>
      <c r="L11" s="174" t="s">
        <v>899</v>
      </c>
      <c r="M11" s="174" t="s">
        <v>897</v>
      </c>
    </row>
    <row r="12" spans="1:13" x14ac:dyDescent="0.2">
      <c r="E12" s="185">
        <v>11</v>
      </c>
      <c r="F12" s="174" t="s">
        <v>960</v>
      </c>
      <c r="G12" s="174" t="s">
        <v>911</v>
      </c>
      <c r="H12" s="174" t="s">
        <v>895</v>
      </c>
      <c r="I12" s="174" t="s">
        <v>975</v>
      </c>
      <c r="J12" s="174" t="s">
        <v>943</v>
      </c>
      <c r="K12" s="174" t="s">
        <v>956</v>
      </c>
      <c r="L12" s="174" t="s">
        <v>899</v>
      </c>
      <c r="M12" s="174" t="s">
        <v>897</v>
      </c>
    </row>
    <row r="13" spans="1:13" x14ac:dyDescent="0.2">
      <c r="A13" s="174" t="s">
        <v>4056</v>
      </c>
      <c r="C13" s="174">
        <f>VLOOKUP(Stats!M1,B2:C10,2,0)</f>
        <v>7</v>
      </c>
      <c r="E13" s="185">
        <v>12</v>
      </c>
      <c r="F13" s="174" t="s">
        <v>960</v>
      </c>
      <c r="G13" s="174" t="s">
        <v>911</v>
      </c>
      <c r="H13" s="174" t="s">
        <v>895</v>
      </c>
      <c r="I13" s="174" t="s">
        <v>975</v>
      </c>
      <c r="J13" s="174" t="s">
        <v>943</v>
      </c>
      <c r="K13" s="174" t="s">
        <v>956</v>
      </c>
      <c r="L13" s="174" t="s">
        <v>899</v>
      </c>
      <c r="M13" s="174" t="s">
        <v>897</v>
      </c>
    </row>
    <row r="14" spans="1:13" x14ac:dyDescent="0.2">
      <c r="E14" s="185">
        <v>13</v>
      </c>
      <c r="F14" s="174" t="s">
        <v>960</v>
      </c>
      <c r="G14" s="174" t="s">
        <v>911</v>
      </c>
      <c r="H14" s="174" t="s">
        <v>895</v>
      </c>
      <c r="I14" s="174" t="s">
        <v>975</v>
      </c>
      <c r="J14" s="174" t="s">
        <v>943</v>
      </c>
      <c r="K14" s="174" t="s">
        <v>956</v>
      </c>
      <c r="L14" s="174" t="s">
        <v>899</v>
      </c>
      <c r="M14" s="174" t="s">
        <v>897</v>
      </c>
    </row>
    <row r="15" spans="1:13" x14ac:dyDescent="0.2">
      <c r="E15" s="185">
        <v>14</v>
      </c>
      <c r="F15" s="174" t="s">
        <v>960</v>
      </c>
      <c r="G15" s="174" t="s">
        <v>911</v>
      </c>
      <c r="H15" s="174" t="s">
        <v>895</v>
      </c>
      <c r="I15" s="174" t="s">
        <v>975</v>
      </c>
      <c r="J15" s="174" t="s">
        <v>943</v>
      </c>
      <c r="K15" s="174" t="s">
        <v>956</v>
      </c>
      <c r="L15" s="174" t="s">
        <v>899</v>
      </c>
      <c r="M15" s="174" t="s">
        <v>897</v>
      </c>
    </row>
    <row r="16" spans="1:13" x14ac:dyDescent="0.2">
      <c r="E16" s="185">
        <v>15</v>
      </c>
      <c r="F16" s="174" t="s">
        <v>960</v>
      </c>
      <c r="G16" s="174" t="s">
        <v>911</v>
      </c>
      <c r="H16" s="174" t="s">
        <v>895</v>
      </c>
      <c r="I16" s="174" t="s">
        <v>975</v>
      </c>
      <c r="J16" s="174" t="s">
        <v>943</v>
      </c>
      <c r="K16" s="174" t="s">
        <v>956</v>
      </c>
      <c r="L16" s="174" t="s">
        <v>899</v>
      </c>
      <c r="M16" s="174" t="s">
        <v>897</v>
      </c>
    </row>
    <row r="17" spans="1:13" x14ac:dyDescent="0.2">
      <c r="E17" s="185">
        <v>16</v>
      </c>
      <c r="F17" s="174" t="s">
        <v>960</v>
      </c>
      <c r="G17" s="174" t="s">
        <v>911</v>
      </c>
      <c r="H17" s="174" t="s">
        <v>895</v>
      </c>
      <c r="I17" s="174" t="s">
        <v>975</v>
      </c>
      <c r="J17" s="174" t="s">
        <v>943</v>
      </c>
      <c r="K17" s="174" t="s">
        <v>956</v>
      </c>
      <c r="L17" s="174" t="s">
        <v>899</v>
      </c>
      <c r="M17" s="174" t="s">
        <v>897</v>
      </c>
    </row>
    <row r="18" spans="1:13" x14ac:dyDescent="0.2">
      <c r="E18" s="185">
        <v>17</v>
      </c>
      <c r="F18" s="174" t="s">
        <v>960</v>
      </c>
      <c r="G18" s="174" t="s">
        <v>911</v>
      </c>
      <c r="H18" s="174" t="s">
        <v>895</v>
      </c>
      <c r="I18" s="174" t="s">
        <v>975</v>
      </c>
      <c r="J18" s="174" t="s">
        <v>943</v>
      </c>
      <c r="K18" s="174" t="s">
        <v>956</v>
      </c>
      <c r="L18" s="174" t="s">
        <v>899</v>
      </c>
      <c r="M18" s="174" t="s">
        <v>897</v>
      </c>
    </row>
    <row r="19" spans="1:13" x14ac:dyDescent="0.2">
      <c r="E19" s="185">
        <v>18</v>
      </c>
      <c r="F19" s="174" t="s">
        <v>960</v>
      </c>
      <c r="G19" s="174" t="s">
        <v>911</v>
      </c>
      <c r="H19" s="174" t="s">
        <v>895</v>
      </c>
      <c r="I19" s="174" t="s">
        <v>975</v>
      </c>
      <c r="J19" s="174" t="s">
        <v>943</v>
      </c>
      <c r="K19" s="174" t="s">
        <v>950</v>
      </c>
      <c r="L19" s="174" t="s">
        <v>899</v>
      </c>
      <c r="M19" s="174" t="s">
        <v>897</v>
      </c>
    </row>
    <row r="20" spans="1:13" x14ac:dyDescent="0.2">
      <c r="A20" s="182"/>
      <c r="B20" s="182"/>
      <c r="E20" s="185">
        <v>19</v>
      </c>
      <c r="F20" s="174" t="s">
        <v>960</v>
      </c>
      <c r="G20" s="174" t="s">
        <v>911</v>
      </c>
      <c r="H20" s="174" t="s">
        <v>895</v>
      </c>
      <c r="I20" s="174" t="s">
        <v>975</v>
      </c>
      <c r="J20" s="174" t="s">
        <v>943</v>
      </c>
      <c r="K20" s="174" t="s">
        <v>950</v>
      </c>
      <c r="L20" s="174" t="s">
        <v>899</v>
      </c>
      <c r="M20" s="174" t="s">
        <v>897</v>
      </c>
    </row>
    <row r="21" spans="1:13" x14ac:dyDescent="0.2">
      <c r="E21" s="185">
        <v>20</v>
      </c>
      <c r="F21" s="174" t="s">
        <v>960</v>
      </c>
      <c r="G21" s="174" t="s">
        <v>911</v>
      </c>
      <c r="H21" s="174" t="s">
        <v>895</v>
      </c>
      <c r="I21" s="174" t="s">
        <v>975</v>
      </c>
      <c r="J21" s="174" t="s">
        <v>942</v>
      </c>
      <c r="K21" s="174" t="s">
        <v>950</v>
      </c>
      <c r="L21" s="174" t="s">
        <v>899</v>
      </c>
      <c r="M21" s="174" t="s">
        <v>897</v>
      </c>
    </row>
    <row r="22" spans="1:13" x14ac:dyDescent="0.2">
      <c r="E22" s="185">
        <v>21</v>
      </c>
      <c r="F22" s="174" t="s">
        <v>960</v>
      </c>
      <c r="G22" s="174" t="s">
        <v>911</v>
      </c>
      <c r="H22" s="174" t="s">
        <v>895</v>
      </c>
      <c r="I22" s="174" t="s">
        <v>975</v>
      </c>
      <c r="J22" s="174" t="s">
        <v>942</v>
      </c>
      <c r="K22" s="174" t="s">
        <v>950</v>
      </c>
      <c r="L22" s="174" t="s">
        <v>899</v>
      </c>
      <c r="M22" s="174" t="s">
        <v>897</v>
      </c>
    </row>
    <row r="23" spans="1:13" x14ac:dyDescent="0.2">
      <c r="E23" s="185">
        <v>22</v>
      </c>
      <c r="F23" s="174" t="s">
        <v>960</v>
      </c>
      <c r="G23" s="174" t="s">
        <v>911</v>
      </c>
      <c r="H23" s="174" t="s">
        <v>895</v>
      </c>
      <c r="I23" s="174" t="s">
        <v>975</v>
      </c>
      <c r="J23" s="174" t="s">
        <v>942</v>
      </c>
      <c r="K23" s="174" t="s">
        <v>906</v>
      </c>
      <c r="L23" s="174" t="s">
        <v>899</v>
      </c>
      <c r="M23" s="174" t="s">
        <v>897</v>
      </c>
    </row>
    <row r="24" spans="1:13" x14ac:dyDescent="0.2">
      <c r="E24" s="185">
        <v>23</v>
      </c>
      <c r="F24" s="174" t="s">
        <v>960</v>
      </c>
      <c r="G24" s="174" t="s">
        <v>911</v>
      </c>
      <c r="H24" s="174" t="s">
        <v>895</v>
      </c>
      <c r="I24" s="174" t="s">
        <v>975</v>
      </c>
      <c r="J24" s="174" t="s">
        <v>942</v>
      </c>
      <c r="K24" s="174" t="s">
        <v>964</v>
      </c>
      <c r="L24" s="174" t="s">
        <v>899</v>
      </c>
      <c r="M24" s="174" t="s">
        <v>897</v>
      </c>
    </row>
    <row r="25" spans="1:13" x14ac:dyDescent="0.2">
      <c r="E25" s="185">
        <v>24</v>
      </c>
      <c r="F25" s="174" t="s">
        <v>960</v>
      </c>
      <c r="G25" s="174" t="s">
        <v>911</v>
      </c>
      <c r="H25" s="174" t="s">
        <v>895</v>
      </c>
      <c r="I25" s="174" t="s">
        <v>975</v>
      </c>
      <c r="J25" s="174" t="s">
        <v>942</v>
      </c>
      <c r="K25" s="174" t="s">
        <v>963</v>
      </c>
      <c r="L25" s="174" t="s">
        <v>899</v>
      </c>
      <c r="M25" s="174" t="s">
        <v>897</v>
      </c>
    </row>
    <row r="26" spans="1:13" x14ac:dyDescent="0.2">
      <c r="E26" s="185">
        <v>25</v>
      </c>
      <c r="F26" s="174" t="s">
        <v>960</v>
      </c>
      <c r="G26" s="174" t="s">
        <v>911</v>
      </c>
      <c r="H26" s="174" t="s">
        <v>895</v>
      </c>
      <c r="I26" s="174" t="s">
        <v>975</v>
      </c>
      <c r="J26" s="174" t="s">
        <v>942</v>
      </c>
      <c r="K26" s="174" t="s">
        <v>965</v>
      </c>
      <c r="L26" s="174" t="s">
        <v>899</v>
      </c>
      <c r="M26" s="174" t="s">
        <v>897</v>
      </c>
    </row>
    <row r="27" spans="1:13" x14ac:dyDescent="0.2">
      <c r="E27" s="185">
        <v>26</v>
      </c>
      <c r="F27" s="174" t="s">
        <v>960</v>
      </c>
      <c r="G27" s="174" t="s">
        <v>911</v>
      </c>
      <c r="H27" s="174" t="s">
        <v>895</v>
      </c>
      <c r="I27" s="174" t="s">
        <v>975</v>
      </c>
      <c r="J27" s="174" t="s">
        <v>942</v>
      </c>
      <c r="K27" s="174" t="s">
        <v>938</v>
      </c>
      <c r="L27" s="174" t="s">
        <v>899</v>
      </c>
      <c r="M27" s="174" t="s">
        <v>897</v>
      </c>
    </row>
    <row r="28" spans="1:13" x14ac:dyDescent="0.2">
      <c r="E28" s="185">
        <v>27</v>
      </c>
      <c r="F28" s="174" t="s">
        <v>960</v>
      </c>
      <c r="G28" s="174" t="s">
        <v>911</v>
      </c>
      <c r="H28" s="174" t="s">
        <v>895</v>
      </c>
      <c r="I28" s="174" t="s">
        <v>975</v>
      </c>
      <c r="J28" s="174" t="s">
        <v>942</v>
      </c>
      <c r="K28" s="174" t="s">
        <v>938</v>
      </c>
      <c r="L28" s="174" t="s">
        <v>899</v>
      </c>
      <c r="M28" s="174" t="s">
        <v>897</v>
      </c>
    </row>
    <row r="29" spans="1:13" x14ac:dyDescent="0.2">
      <c r="A29" s="182" t="s">
        <v>4057</v>
      </c>
      <c r="E29" s="185">
        <v>28</v>
      </c>
      <c r="F29" s="174" t="s">
        <v>960</v>
      </c>
      <c r="G29" s="174" t="s">
        <v>911</v>
      </c>
      <c r="H29" s="174" t="s">
        <v>895</v>
      </c>
      <c r="I29" s="174" t="s">
        <v>975</v>
      </c>
      <c r="J29" s="174" t="s">
        <v>942</v>
      </c>
      <c r="K29" s="174" t="s">
        <v>938</v>
      </c>
      <c r="L29" s="174" t="s">
        <v>899</v>
      </c>
      <c r="M29" s="174" t="s">
        <v>897</v>
      </c>
    </row>
    <row r="30" spans="1:13" x14ac:dyDescent="0.2">
      <c r="A30" s="174" t="s">
        <v>1024</v>
      </c>
      <c r="B30" s="174" t="s">
        <v>984</v>
      </c>
      <c r="E30" s="185">
        <v>29</v>
      </c>
      <c r="F30" s="174" t="s">
        <v>960</v>
      </c>
      <c r="G30" s="174" t="s">
        <v>911</v>
      </c>
      <c r="H30" s="174" t="s">
        <v>895</v>
      </c>
      <c r="I30" s="174" t="s">
        <v>975</v>
      </c>
      <c r="J30" s="174" t="s">
        <v>942</v>
      </c>
      <c r="K30" s="174" t="s">
        <v>940</v>
      </c>
      <c r="L30" s="174" t="s">
        <v>899</v>
      </c>
      <c r="M30" s="174" t="s">
        <v>897</v>
      </c>
    </row>
    <row r="31" spans="1:13" x14ac:dyDescent="0.2">
      <c r="E31" s="185">
        <v>30</v>
      </c>
      <c r="F31" s="174" t="s">
        <v>960</v>
      </c>
      <c r="G31" s="174" t="s">
        <v>911</v>
      </c>
      <c r="H31" s="174" t="s">
        <v>895</v>
      </c>
      <c r="I31" s="174" t="s">
        <v>975</v>
      </c>
      <c r="J31" s="174" t="s">
        <v>942</v>
      </c>
      <c r="K31" s="174" t="s">
        <v>940</v>
      </c>
      <c r="L31" s="174" t="s">
        <v>899</v>
      </c>
      <c r="M31" s="174" t="s">
        <v>897</v>
      </c>
    </row>
    <row r="32" spans="1:13" x14ac:dyDescent="0.2">
      <c r="E32" s="185">
        <v>31</v>
      </c>
      <c r="F32" s="174" t="s">
        <v>960</v>
      </c>
      <c r="G32" s="174" t="s">
        <v>911</v>
      </c>
      <c r="H32" s="174" t="s">
        <v>895</v>
      </c>
      <c r="I32" s="174" t="s">
        <v>975</v>
      </c>
      <c r="J32" s="174" t="s">
        <v>942</v>
      </c>
      <c r="K32" s="174" t="s">
        <v>940</v>
      </c>
      <c r="L32" s="174" t="s">
        <v>899</v>
      </c>
      <c r="M32" s="174" t="s">
        <v>897</v>
      </c>
    </row>
    <row r="33" spans="1:13" x14ac:dyDescent="0.2">
      <c r="E33" s="185">
        <v>32</v>
      </c>
      <c r="F33" s="174" t="s">
        <v>960</v>
      </c>
      <c r="G33" s="174" t="s">
        <v>911</v>
      </c>
      <c r="H33" s="174" t="s">
        <v>895</v>
      </c>
      <c r="I33" s="174" t="s">
        <v>975</v>
      </c>
      <c r="J33" s="174" t="s">
        <v>942</v>
      </c>
      <c r="K33" s="174" t="s">
        <v>940</v>
      </c>
      <c r="L33" s="174" t="s">
        <v>899</v>
      </c>
      <c r="M33" s="174" t="s">
        <v>897</v>
      </c>
    </row>
    <row r="34" spans="1:13" x14ac:dyDescent="0.2">
      <c r="A34" s="174" t="s">
        <v>1034</v>
      </c>
      <c r="B34" s="174" t="s">
        <v>908</v>
      </c>
      <c r="E34" s="185">
        <v>33</v>
      </c>
      <c r="F34" s="174" t="s">
        <v>960</v>
      </c>
      <c r="G34" s="174" t="s">
        <v>911</v>
      </c>
      <c r="H34" s="174" t="s">
        <v>895</v>
      </c>
      <c r="I34" s="174" t="s">
        <v>975</v>
      </c>
      <c r="J34" s="174" t="s">
        <v>942</v>
      </c>
      <c r="K34" s="174" t="s">
        <v>940</v>
      </c>
      <c r="L34" s="174" t="s">
        <v>899</v>
      </c>
      <c r="M34" s="174" t="s">
        <v>897</v>
      </c>
    </row>
    <row r="35" spans="1:13" x14ac:dyDescent="0.2">
      <c r="A35" s="174" t="s">
        <v>1034</v>
      </c>
      <c r="B35" s="174" t="s">
        <v>1035</v>
      </c>
      <c r="E35" s="185">
        <v>34</v>
      </c>
      <c r="F35" s="174" t="s">
        <v>960</v>
      </c>
      <c r="G35" s="174" t="s">
        <v>911</v>
      </c>
      <c r="H35" s="174" t="s">
        <v>895</v>
      </c>
      <c r="I35" s="174" t="s">
        <v>975</v>
      </c>
      <c r="J35" s="174" t="s">
        <v>942</v>
      </c>
      <c r="K35" s="174" t="s">
        <v>940</v>
      </c>
      <c r="L35" s="174" t="s">
        <v>899</v>
      </c>
      <c r="M35" s="174" t="s">
        <v>897</v>
      </c>
    </row>
    <row r="36" spans="1:13" x14ac:dyDescent="0.2">
      <c r="E36" s="185">
        <v>35</v>
      </c>
      <c r="F36" s="174" t="s">
        <v>960</v>
      </c>
      <c r="G36" s="174" t="s">
        <v>911</v>
      </c>
      <c r="H36" s="174" t="s">
        <v>895</v>
      </c>
      <c r="I36" s="174" t="s">
        <v>975</v>
      </c>
      <c r="J36" s="174" t="s">
        <v>1052</v>
      </c>
      <c r="K36" s="174" t="s">
        <v>940</v>
      </c>
      <c r="L36" s="174" t="s">
        <v>899</v>
      </c>
      <c r="M36" s="174" t="s">
        <v>897</v>
      </c>
    </row>
    <row r="37" spans="1:13" x14ac:dyDescent="0.2">
      <c r="A37" s="174" t="s">
        <v>1034</v>
      </c>
      <c r="B37" s="174" t="s">
        <v>910</v>
      </c>
      <c r="E37" s="185">
        <v>36</v>
      </c>
      <c r="F37" s="174" t="s">
        <v>960</v>
      </c>
      <c r="G37" s="174" t="s">
        <v>911</v>
      </c>
      <c r="H37" s="174" t="s">
        <v>895</v>
      </c>
      <c r="I37" s="174" t="s">
        <v>975</v>
      </c>
      <c r="J37" s="174" t="s">
        <v>1052</v>
      </c>
      <c r="K37" s="174" t="s">
        <v>940</v>
      </c>
      <c r="L37" s="174" t="s">
        <v>899</v>
      </c>
      <c r="M37" s="174" t="s">
        <v>897</v>
      </c>
    </row>
    <row r="38" spans="1:13" x14ac:dyDescent="0.2">
      <c r="E38" s="185">
        <v>37</v>
      </c>
      <c r="F38" s="174" t="s">
        <v>960</v>
      </c>
      <c r="G38" s="174" t="s">
        <v>911</v>
      </c>
      <c r="H38" s="174" t="s">
        <v>895</v>
      </c>
      <c r="I38" s="174" t="s">
        <v>975</v>
      </c>
      <c r="J38" s="174" t="s">
        <v>1052</v>
      </c>
      <c r="K38" s="174" t="s">
        <v>940</v>
      </c>
      <c r="L38" s="174" t="s">
        <v>899</v>
      </c>
      <c r="M38" s="174" t="s">
        <v>897</v>
      </c>
    </row>
    <row r="39" spans="1:13" x14ac:dyDescent="0.2">
      <c r="E39" s="185">
        <v>38</v>
      </c>
      <c r="F39" s="174" t="s">
        <v>960</v>
      </c>
      <c r="G39" s="174" t="s">
        <v>911</v>
      </c>
      <c r="H39" s="174" t="s">
        <v>895</v>
      </c>
      <c r="I39" s="174" t="s">
        <v>975</v>
      </c>
      <c r="J39" s="174" t="s">
        <v>1052</v>
      </c>
      <c r="K39" s="174" t="s">
        <v>940</v>
      </c>
      <c r="L39" s="174" t="s">
        <v>899</v>
      </c>
      <c r="M39" s="174" t="s">
        <v>897</v>
      </c>
    </row>
    <row r="40" spans="1:13" x14ac:dyDescent="0.2">
      <c r="E40" s="185">
        <v>39</v>
      </c>
      <c r="F40" s="174" t="s">
        <v>960</v>
      </c>
      <c r="G40" s="174" t="s">
        <v>911</v>
      </c>
      <c r="H40" s="174" t="s">
        <v>895</v>
      </c>
      <c r="I40" s="174" t="s">
        <v>975</v>
      </c>
      <c r="J40" s="174" t="s">
        <v>1052</v>
      </c>
      <c r="K40" s="174" t="s">
        <v>940</v>
      </c>
      <c r="L40" s="174" t="s">
        <v>899</v>
      </c>
      <c r="M40" s="174" t="s">
        <v>897</v>
      </c>
    </row>
    <row r="41" spans="1:13" x14ac:dyDescent="0.2">
      <c r="E41" s="185">
        <v>40</v>
      </c>
      <c r="F41" s="174" t="s">
        <v>960</v>
      </c>
      <c r="G41" s="174" t="s">
        <v>911</v>
      </c>
      <c r="H41" s="174" t="s">
        <v>895</v>
      </c>
      <c r="I41" s="174" t="s">
        <v>975</v>
      </c>
      <c r="J41" s="174" t="s">
        <v>1052</v>
      </c>
      <c r="K41" s="174" t="s">
        <v>940</v>
      </c>
      <c r="L41" s="174" t="s">
        <v>899</v>
      </c>
      <c r="M41" s="174" t="s">
        <v>897</v>
      </c>
    </row>
    <row r="42" spans="1:13" x14ac:dyDescent="0.2">
      <c r="A42" s="174" t="s">
        <v>900</v>
      </c>
      <c r="B42" s="174" t="s">
        <v>985</v>
      </c>
      <c r="E42" s="185">
        <v>41</v>
      </c>
      <c r="F42" s="174" t="s">
        <v>960</v>
      </c>
      <c r="G42" s="174" t="s">
        <v>911</v>
      </c>
      <c r="H42" s="174" t="s">
        <v>895</v>
      </c>
      <c r="I42" s="174" t="s">
        <v>975</v>
      </c>
      <c r="J42" s="174" t="s">
        <v>1052</v>
      </c>
      <c r="K42" s="174" t="s">
        <v>940</v>
      </c>
      <c r="L42" s="174" t="s">
        <v>899</v>
      </c>
      <c r="M42" s="174" t="s">
        <v>898</v>
      </c>
    </row>
    <row r="43" spans="1:13" x14ac:dyDescent="0.2">
      <c r="E43" s="185">
        <v>42</v>
      </c>
      <c r="F43" s="174" t="s">
        <v>960</v>
      </c>
      <c r="G43" s="174" t="s">
        <v>911</v>
      </c>
      <c r="H43" s="174" t="s">
        <v>895</v>
      </c>
      <c r="I43" s="174" t="s">
        <v>975</v>
      </c>
      <c r="J43" s="174" t="s">
        <v>1052</v>
      </c>
      <c r="K43" s="174" t="s">
        <v>940</v>
      </c>
      <c r="L43" s="174" t="s">
        <v>899</v>
      </c>
      <c r="M43" s="174" t="s">
        <v>898</v>
      </c>
    </row>
    <row r="44" spans="1:13" x14ac:dyDescent="0.2">
      <c r="E44" s="185">
        <v>43</v>
      </c>
      <c r="F44" s="174" t="s">
        <v>960</v>
      </c>
      <c r="G44" s="174" t="s">
        <v>911</v>
      </c>
      <c r="H44" s="174" t="s">
        <v>895</v>
      </c>
      <c r="I44" s="174" t="s">
        <v>975</v>
      </c>
      <c r="J44" s="174" t="s">
        <v>1052</v>
      </c>
      <c r="K44" s="174" t="s">
        <v>939</v>
      </c>
      <c r="L44" s="174" t="s">
        <v>899</v>
      </c>
      <c r="M44" s="174" t="s">
        <v>898</v>
      </c>
    </row>
    <row r="45" spans="1:13" x14ac:dyDescent="0.2">
      <c r="E45" s="185">
        <v>44</v>
      </c>
      <c r="F45" s="174" t="s">
        <v>960</v>
      </c>
      <c r="G45" s="174" t="s">
        <v>911</v>
      </c>
      <c r="H45" s="174" t="s">
        <v>895</v>
      </c>
      <c r="I45" s="174" t="s">
        <v>975</v>
      </c>
      <c r="J45" s="174" t="s">
        <v>1052</v>
      </c>
      <c r="K45" s="174" t="s">
        <v>939</v>
      </c>
      <c r="L45" s="174" t="s">
        <v>899</v>
      </c>
      <c r="M45" s="174" t="s">
        <v>898</v>
      </c>
    </row>
    <row r="46" spans="1:13" x14ac:dyDescent="0.2">
      <c r="E46" s="185">
        <v>45</v>
      </c>
      <c r="F46" s="174" t="s">
        <v>960</v>
      </c>
      <c r="G46" s="174" t="s">
        <v>911</v>
      </c>
      <c r="H46" s="174" t="s">
        <v>895</v>
      </c>
      <c r="I46" s="174" t="s">
        <v>975</v>
      </c>
      <c r="J46" s="174" t="s">
        <v>948</v>
      </c>
      <c r="K46" s="174" t="s">
        <v>939</v>
      </c>
      <c r="L46" s="174" t="s">
        <v>899</v>
      </c>
      <c r="M46" s="174" t="s">
        <v>898</v>
      </c>
    </row>
    <row r="47" spans="1:13" x14ac:dyDescent="0.2">
      <c r="E47" s="185">
        <v>46</v>
      </c>
      <c r="F47" s="174" t="s">
        <v>960</v>
      </c>
      <c r="G47" s="174" t="s">
        <v>911</v>
      </c>
      <c r="H47" s="174" t="s">
        <v>895</v>
      </c>
      <c r="I47" s="174" t="s">
        <v>975</v>
      </c>
      <c r="J47" s="174" t="s">
        <v>948</v>
      </c>
      <c r="K47" s="174" t="s">
        <v>941</v>
      </c>
      <c r="L47" s="174" t="s">
        <v>899</v>
      </c>
      <c r="M47" s="174" t="s">
        <v>898</v>
      </c>
    </row>
    <row r="48" spans="1:13" x14ac:dyDescent="0.2">
      <c r="E48" s="185">
        <v>47</v>
      </c>
      <c r="F48" s="174" t="s">
        <v>960</v>
      </c>
      <c r="G48" s="174" t="s">
        <v>911</v>
      </c>
      <c r="H48" s="174" t="s">
        <v>895</v>
      </c>
      <c r="I48" s="174" t="s">
        <v>975</v>
      </c>
      <c r="J48" s="174" t="s">
        <v>948</v>
      </c>
      <c r="K48" s="174" t="s">
        <v>941</v>
      </c>
      <c r="L48" s="174" t="s">
        <v>899</v>
      </c>
      <c r="M48" s="174" t="s">
        <v>898</v>
      </c>
    </row>
    <row r="49" spans="5:13" x14ac:dyDescent="0.2">
      <c r="E49" s="185">
        <v>48</v>
      </c>
      <c r="F49" s="174" t="s">
        <v>960</v>
      </c>
      <c r="G49" s="174" t="s">
        <v>911</v>
      </c>
      <c r="H49" s="174" t="s">
        <v>895</v>
      </c>
      <c r="I49" s="174" t="s">
        <v>975</v>
      </c>
      <c r="J49" s="174" t="s">
        <v>948</v>
      </c>
      <c r="K49" s="174" t="s">
        <v>941</v>
      </c>
      <c r="L49" s="174" t="s">
        <v>899</v>
      </c>
      <c r="M49" s="174" t="s">
        <v>898</v>
      </c>
    </row>
    <row r="50" spans="5:13" x14ac:dyDescent="0.2">
      <c r="E50" s="185">
        <v>49</v>
      </c>
      <c r="F50" s="174" t="s">
        <v>960</v>
      </c>
      <c r="G50" s="174" t="s">
        <v>911</v>
      </c>
      <c r="H50" s="174" t="s">
        <v>895</v>
      </c>
      <c r="I50" s="174" t="s">
        <v>975</v>
      </c>
      <c r="J50" s="174" t="s">
        <v>948</v>
      </c>
      <c r="K50" s="174" t="s">
        <v>941</v>
      </c>
      <c r="L50" s="174" t="s">
        <v>899</v>
      </c>
      <c r="M50" s="174" t="s">
        <v>898</v>
      </c>
    </row>
    <row r="51" spans="5:13" x14ac:dyDescent="0.2">
      <c r="E51" s="185">
        <v>50</v>
      </c>
      <c r="F51" s="174" t="s">
        <v>960</v>
      </c>
      <c r="G51" s="174" t="s">
        <v>911</v>
      </c>
      <c r="H51" s="174" t="s">
        <v>895</v>
      </c>
      <c r="I51" s="174" t="s">
        <v>975</v>
      </c>
      <c r="J51" s="174" t="s">
        <v>948</v>
      </c>
      <c r="K51" s="174" t="s">
        <v>941</v>
      </c>
      <c r="L51" s="174" t="s">
        <v>899</v>
      </c>
      <c r="M51" s="174" t="s">
        <v>898</v>
      </c>
    </row>
    <row r="52" spans="5:13" x14ac:dyDescent="0.2">
      <c r="E52" s="185">
        <v>51</v>
      </c>
      <c r="F52" s="174" t="s">
        <v>961</v>
      </c>
      <c r="G52" s="174" t="s">
        <v>911</v>
      </c>
      <c r="H52" s="174" t="s">
        <v>895</v>
      </c>
      <c r="I52" s="174" t="s">
        <v>975</v>
      </c>
      <c r="J52" s="174" t="s">
        <v>948</v>
      </c>
      <c r="K52" s="174" t="s">
        <v>941</v>
      </c>
      <c r="L52" s="174" t="s">
        <v>899</v>
      </c>
      <c r="M52" s="174" t="s">
        <v>898</v>
      </c>
    </row>
    <row r="53" spans="5:13" x14ac:dyDescent="0.2">
      <c r="E53" s="185">
        <v>52</v>
      </c>
      <c r="F53" s="174" t="s">
        <v>961</v>
      </c>
      <c r="G53" s="174" t="s">
        <v>911</v>
      </c>
      <c r="H53" s="174" t="s">
        <v>895</v>
      </c>
      <c r="I53" s="174" t="s">
        <v>975</v>
      </c>
      <c r="J53" s="174" t="s">
        <v>948</v>
      </c>
      <c r="K53" s="174" t="s">
        <v>941</v>
      </c>
      <c r="L53" s="174" t="s">
        <v>899</v>
      </c>
      <c r="M53" s="174" t="s">
        <v>898</v>
      </c>
    </row>
    <row r="54" spans="5:13" x14ac:dyDescent="0.2">
      <c r="E54" s="185">
        <v>53</v>
      </c>
      <c r="F54" s="174" t="s">
        <v>961</v>
      </c>
      <c r="G54" s="174" t="s">
        <v>911</v>
      </c>
      <c r="H54" s="174" t="s">
        <v>895</v>
      </c>
      <c r="I54" s="174" t="s">
        <v>975</v>
      </c>
      <c r="J54" s="174" t="s">
        <v>948</v>
      </c>
      <c r="K54" s="174" t="s">
        <v>941</v>
      </c>
      <c r="L54" s="174" t="s">
        <v>899</v>
      </c>
      <c r="M54" s="174" t="s">
        <v>898</v>
      </c>
    </row>
    <row r="55" spans="5:13" x14ac:dyDescent="0.2">
      <c r="E55" s="185">
        <v>54</v>
      </c>
      <c r="F55" s="174" t="s">
        <v>961</v>
      </c>
      <c r="G55" s="174" t="s">
        <v>911</v>
      </c>
      <c r="H55" s="174" t="s">
        <v>895</v>
      </c>
      <c r="I55" s="174" t="s">
        <v>975</v>
      </c>
      <c r="J55" s="174" t="s">
        <v>948</v>
      </c>
      <c r="K55" s="174" t="s">
        <v>941</v>
      </c>
      <c r="L55" s="174" t="s">
        <v>899</v>
      </c>
      <c r="M55" s="174" t="s">
        <v>898</v>
      </c>
    </row>
    <row r="56" spans="5:13" x14ac:dyDescent="0.2">
      <c r="E56" s="185">
        <v>55</v>
      </c>
      <c r="F56" s="174" t="s">
        <v>961</v>
      </c>
      <c r="G56" s="174" t="s">
        <v>911</v>
      </c>
      <c r="H56" s="174" t="s">
        <v>895</v>
      </c>
      <c r="I56" s="174" t="s">
        <v>975</v>
      </c>
      <c r="J56" s="174" t="s">
        <v>909</v>
      </c>
      <c r="K56" s="174" t="s">
        <v>941</v>
      </c>
      <c r="L56" s="174" t="s">
        <v>899</v>
      </c>
      <c r="M56" s="174" t="s">
        <v>898</v>
      </c>
    </row>
    <row r="57" spans="5:13" x14ac:dyDescent="0.2">
      <c r="E57" s="185">
        <v>56</v>
      </c>
      <c r="F57" s="174" t="s">
        <v>961</v>
      </c>
      <c r="G57" s="174" t="s">
        <v>911</v>
      </c>
      <c r="H57" s="174" t="s">
        <v>895</v>
      </c>
      <c r="I57" s="174" t="s">
        <v>975</v>
      </c>
      <c r="J57" s="174" t="s">
        <v>909</v>
      </c>
      <c r="K57" s="174" t="s">
        <v>941</v>
      </c>
      <c r="L57" s="174" t="s">
        <v>899</v>
      </c>
      <c r="M57" s="174" t="s">
        <v>898</v>
      </c>
    </row>
    <row r="58" spans="5:13" x14ac:dyDescent="0.2">
      <c r="E58" s="185">
        <v>57</v>
      </c>
      <c r="F58" s="174" t="s">
        <v>961</v>
      </c>
      <c r="G58" s="174" t="s">
        <v>911</v>
      </c>
      <c r="H58" s="174" t="s">
        <v>895</v>
      </c>
      <c r="I58" s="174" t="s">
        <v>975</v>
      </c>
      <c r="J58" s="174" t="s">
        <v>909</v>
      </c>
      <c r="K58" s="174" t="s">
        <v>941</v>
      </c>
      <c r="L58" s="174" t="s">
        <v>899</v>
      </c>
      <c r="M58" s="174" t="s">
        <v>898</v>
      </c>
    </row>
    <row r="59" spans="5:13" x14ac:dyDescent="0.2">
      <c r="E59" s="185">
        <v>58</v>
      </c>
      <c r="F59" s="174" t="s">
        <v>961</v>
      </c>
      <c r="G59" s="174" t="s">
        <v>911</v>
      </c>
      <c r="H59" s="174" t="s">
        <v>895</v>
      </c>
      <c r="I59" s="174" t="s">
        <v>975</v>
      </c>
      <c r="J59" s="174" t="s">
        <v>909</v>
      </c>
      <c r="K59" s="174" t="s">
        <v>941</v>
      </c>
      <c r="L59" s="174" t="s">
        <v>899</v>
      </c>
      <c r="M59" s="174" t="s">
        <v>898</v>
      </c>
    </row>
    <row r="60" spans="5:13" x14ac:dyDescent="0.2">
      <c r="E60" s="185">
        <v>59</v>
      </c>
      <c r="F60" s="174" t="s">
        <v>961</v>
      </c>
      <c r="G60" s="174" t="s">
        <v>911</v>
      </c>
      <c r="H60" s="174" t="s">
        <v>895</v>
      </c>
      <c r="I60" s="174" t="s">
        <v>975</v>
      </c>
      <c r="J60" s="174" t="s">
        <v>947</v>
      </c>
      <c r="K60" s="174" t="s">
        <v>941</v>
      </c>
      <c r="L60" s="174" t="s">
        <v>899</v>
      </c>
      <c r="M60" s="174" t="s">
        <v>898</v>
      </c>
    </row>
    <row r="61" spans="5:13" x14ac:dyDescent="0.2">
      <c r="E61" s="185">
        <v>60</v>
      </c>
      <c r="F61" s="174" t="s">
        <v>961</v>
      </c>
      <c r="G61" s="174" t="s">
        <v>911</v>
      </c>
      <c r="H61" s="174" t="s">
        <v>895</v>
      </c>
      <c r="I61" s="174" t="s">
        <v>975</v>
      </c>
      <c r="J61" s="174" t="s">
        <v>947</v>
      </c>
      <c r="K61" s="174" t="s">
        <v>941</v>
      </c>
      <c r="L61" s="174" t="s">
        <v>899</v>
      </c>
      <c r="M61" s="174" t="s">
        <v>898</v>
      </c>
    </row>
    <row r="62" spans="5:13" x14ac:dyDescent="0.2">
      <c r="E62" s="185">
        <v>61</v>
      </c>
      <c r="F62" s="174" t="s">
        <v>961</v>
      </c>
      <c r="G62" s="174" t="s">
        <v>911</v>
      </c>
      <c r="H62" s="174" t="s">
        <v>895</v>
      </c>
      <c r="I62" s="174" t="s">
        <v>975</v>
      </c>
      <c r="J62" s="174" t="s">
        <v>947</v>
      </c>
      <c r="K62" s="174" t="s">
        <v>941</v>
      </c>
      <c r="L62" s="174" t="s">
        <v>899</v>
      </c>
      <c r="M62" s="174" t="s">
        <v>898</v>
      </c>
    </row>
    <row r="63" spans="5:13" x14ac:dyDescent="0.2">
      <c r="E63" s="185">
        <v>62</v>
      </c>
      <c r="F63" s="174" t="s">
        <v>961</v>
      </c>
      <c r="G63" s="174" t="s">
        <v>911</v>
      </c>
      <c r="H63" s="174" t="s">
        <v>895</v>
      </c>
      <c r="I63" s="174" t="s">
        <v>975</v>
      </c>
      <c r="J63" s="174" t="s">
        <v>947</v>
      </c>
      <c r="K63" s="174" t="s">
        <v>1025</v>
      </c>
      <c r="L63" s="174" t="s">
        <v>899</v>
      </c>
      <c r="M63" s="174" t="s">
        <v>898</v>
      </c>
    </row>
    <row r="64" spans="5:13" x14ac:dyDescent="0.2">
      <c r="E64" s="185">
        <v>63</v>
      </c>
      <c r="F64" s="174" t="s">
        <v>961</v>
      </c>
      <c r="G64" s="174" t="s">
        <v>911</v>
      </c>
      <c r="H64" s="174" t="s">
        <v>895</v>
      </c>
      <c r="I64" s="174" t="s">
        <v>975</v>
      </c>
      <c r="J64" s="174" t="s">
        <v>947</v>
      </c>
      <c r="K64" s="174" t="s">
        <v>1025</v>
      </c>
      <c r="L64" s="174" t="s">
        <v>899</v>
      </c>
      <c r="M64" s="174" t="s">
        <v>898</v>
      </c>
    </row>
    <row r="65" spans="1:13" x14ac:dyDescent="0.2">
      <c r="E65" s="185">
        <v>64</v>
      </c>
      <c r="F65" s="174" t="s">
        <v>961</v>
      </c>
      <c r="G65" s="174" t="s">
        <v>911</v>
      </c>
      <c r="H65" s="174" t="s">
        <v>895</v>
      </c>
      <c r="I65" s="174" t="s">
        <v>975</v>
      </c>
      <c r="J65" s="174" t="s">
        <v>947</v>
      </c>
      <c r="K65" s="174" t="s">
        <v>1025</v>
      </c>
      <c r="L65" s="174" t="s">
        <v>899</v>
      </c>
      <c r="M65" s="174" t="s">
        <v>898</v>
      </c>
    </row>
    <row r="66" spans="1:13" x14ac:dyDescent="0.2">
      <c r="E66" s="185">
        <v>65</v>
      </c>
      <c r="F66" s="174" t="s">
        <v>961</v>
      </c>
      <c r="G66" s="174" t="s">
        <v>911</v>
      </c>
      <c r="H66" s="174" t="s">
        <v>895</v>
      </c>
      <c r="I66" s="174" t="s">
        <v>975</v>
      </c>
      <c r="J66" s="174" t="s">
        <v>947</v>
      </c>
      <c r="K66" s="174" t="s">
        <v>953</v>
      </c>
      <c r="L66" s="174" t="s">
        <v>899</v>
      </c>
      <c r="M66" s="174" t="s">
        <v>898</v>
      </c>
    </row>
    <row r="67" spans="1:13" x14ac:dyDescent="0.2">
      <c r="E67" s="185">
        <v>66</v>
      </c>
      <c r="F67" s="174" t="s">
        <v>961</v>
      </c>
      <c r="G67" s="174" t="s">
        <v>911</v>
      </c>
      <c r="H67" s="174" t="s">
        <v>895</v>
      </c>
      <c r="I67" s="174" t="s">
        <v>975</v>
      </c>
      <c r="J67" s="174" t="s">
        <v>947</v>
      </c>
      <c r="K67" s="174" t="s">
        <v>953</v>
      </c>
      <c r="L67" s="174" t="s">
        <v>899</v>
      </c>
      <c r="M67" s="174" t="s">
        <v>898</v>
      </c>
    </row>
    <row r="68" spans="1:13" x14ac:dyDescent="0.2">
      <c r="E68" s="185">
        <v>67</v>
      </c>
      <c r="F68" s="174" t="s">
        <v>961</v>
      </c>
      <c r="G68" s="174" t="s">
        <v>911</v>
      </c>
      <c r="H68" s="174" t="s">
        <v>895</v>
      </c>
      <c r="I68" s="174" t="s">
        <v>975</v>
      </c>
      <c r="J68" s="174" t="s">
        <v>947</v>
      </c>
      <c r="K68" s="174" t="s">
        <v>953</v>
      </c>
      <c r="L68" s="174" t="s">
        <v>899</v>
      </c>
      <c r="M68" s="174" t="s">
        <v>898</v>
      </c>
    </row>
    <row r="69" spans="1:13" x14ac:dyDescent="0.2">
      <c r="E69" s="185">
        <v>68</v>
      </c>
      <c r="F69" s="174" t="s">
        <v>961</v>
      </c>
      <c r="G69" s="174" t="s">
        <v>911</v>
      </c>
      <c r="H69" s="174" t="s">
        <v>895</v>
      </c>
      <c r="I69" s="174" t="s">
        <v>975</v>
      </c>
      <c r="J69" s="174" t="s">
        <v>947</v>
      </c>
      <c r="K69" s="174" t="s">
        <v>958</v>
      </c>
      <c r="L69" s="174" t="s">
        <v>899</v>
      </c>
      <c r="M69" s="174" t="s">
        <v>898</v>
      </c>
    </row>
    <row r="70" spans="1:13" x14ac:dyDescent="0.2">
      <c r="E70" s="185">
        <v>69</v>
      </c>
      <c r="F70" s="174" t="s">
        <v>961</v>
      </c>
      <c r="G70" s="174" t="s">
        <v>911</v>
      </c>
      <c r="H70" s="174" t="s">
        <v>895</v>
      </c>
      <c r="I70" s="174" t="s">
        <v>975</v>
      </c>
      <c r="J70" s="174" t="s">
        <v>947</v>
      </c>
      <c r="K70" s="174" t="s">
        <v>958</v>
      </c>
      <c r="L70" s="174" t="s">
        <v>899</v>
      </c>
      <c r="M70" s="174" t="s">
        <v>898</v>
      </c>
    </row>
    <row r="71" spans="1:13" x14ac:dyDescent="0.2">
      <c r="E71" s="185">
        <v>70</v>
      </c>
      <c r="F71" s="174" t="s">
        <v>961</v>
      </c>
      <c r="G71" s="174" t="s">
        <v>911</v>
      </c>
      <c r="H71" s="174" t="s">
        <v>895</v>
      </c>
      <c r="I71" s="174" t="s">
        <v>975</v>
      </c>
      <c r="J71" s="174" t="s">
        <v>946</v>
      </c>
      <c r="K71" s="174" t="s">
        <v>958</v>
      </c>
      <c r="L71" s="174" t="s">
        <v>899</v>
      </c>
      <c r="M71" s="174" t="s">
        <v>898</v>
      </c>
    </row>
    <row r="72" spans="1:13" x14ac:dyDescent="0.2">
      <c r="E72" s="185">
        <v>71</v>
      </c>
      <c r="F72" s="174" t="s">
        <v>961</v>
      </c>
      <c r="G72" s="174" t="s">
        <v>911</v>
      </c>
      <c r="H72" s="174" t="s">
        <v>895</v>
      </c>
      <c r="I72" s="174" t="s">
        <v>975</v>
      </c>
      <c r="J72" s="174" t="s">
        <v>946</v>
      </c>
      <c r="K72" s="174" t="s">
        <v>958</v>
      </c>
      <c r="L72" s="174" t="s">
        <v>899</v>
      </c>
      <c r="M72" s="174" t="s">
        <v>896</v>
      </c>
    </row>
    <row r="73" spans="1:13" x14ac:dyDescent="0.2">
      <c r="A73" s="182"/>
      <c r="B73" s="182"/>
      <c r="E73" s="185">
        <v>72</v>
      </c>
      <c r="F73" s="174" t="s">
        <v>961</v>
      </c>
      <c r="G73" s="174" t="s">
        <v>911</v>
      </c>
      <c r="H73" s="174" t="s">
        <v>895</v>
      </c>
      <c r="I73" s="174" t="s">
        <v>975</v>
      </c>
      <c r="J73" s="174" t="s">
        <v>946</v>
      </c>
      <c r="K73" s="174" t="s">
        <v>959</v>
      </c>
      <c r="L73" s="174" t="s">
        <v>899</v>
      </c>
      <c r="M73" s="174" t="s">
        <v>896</v>
      </c>
    </row>
    <row r="74" spans="1:13" x14ac:dyDescent="0.2">
      <c r="E74" s="185">
        <v>73</v>
      </c>
      <c r="F74" s="174" t="s">
        <v>961</v>
      </c>
      <c r="G74" s="174" t="s">
        <v>911</v>
      </c>
      <c r="H74" s="174" t="s">
        <v>895</v>
      </c>
      <c r="I74" s="174" t="s">
        <v>975</v>
      </c>
      <c r="J74" s="174" t="s">
        <v>946</v>
      </c>
      <c r="K74" s="174" t="s">
        <v>959</v>
      </c>
      <c r="L74" s="174" t="s">
        <v>899</v>
      </c>
      <c r="M74" s="174" t="s">
        <v>896</v>
      </c>
    </row>
    <row r="75" spans="1:13" x14ac:dyDescent="0.2">
      <c r="E75" s="185">
        <v>74</v>
      </c>
      <c r="F75" s="174" t="s">
        <v>961</v>
      </c>
      <c r="G75" s="174" t="s">
        <v>911</v>
      </c>
      <c r="H75" s="174" t="s">
        <v>895</v>
      </c>
      <c r="I75" s="174" t="s">
        <v>975</v>
      </c>
      <c r="J75" s="174" t="s">
        <v>946</v>
      </c>
      <c r="K75" s="174" t="s">
        <v>959</v>
      </c>
      <c r="L75" s="174" t="s">
        <v>899</v>
      </c>
      <c r="M75" s="174" t="s">
        <v>896</v>
      </c>
    </row>
    <row r="76" spans="1:13" x14ac:dyDescent="0.2">
      <c r="E76" s="185">
        <v>75</v>
      </c>
      <c r="F76" s="174" t="s">
        <v>961</v>
      </c>
      <c r="G76" s="174" t="s">
        <v>911</v>
      </c>
      <c r="H76" s="174" t="s">
        <v>895</v>
      </c>
      <c r="I76" s="174" t="s">
        <v>975</v>
      </c>
      <c r="J76" s="174" t="s">
        <v>946</v>
      </c>
      <c r="K76" s="174" t="s">
        <v>957</v>
      </c>
      <c r="L76" s="174" t="s">
        <v>899</v>
      </c>
      <c r="M76" s="174" t="s">
        <v>896</v>
      </c>
    </row>
    <row r="77" spans="1:13" x14ac:dyDescent="0.2">
      <c r="E77" s="185">
        <v>76</v>
      </c>
      <c r="F77" s="174" t="s">
        <v>961</v>
      </c>
      <c r="G77" s="174" t="s">
        <v>911</v>
      </c>
      <c r="H77" s="174" t="s">
        <v>895</v>
      </c>
      <c r="I77" s="174" t="s">
        <v>975</v>
      </c>
      <c r="J77" s="174" t="s">
        <v>946</v>
      </c>
      <c r="K77" s="174" t="s">
        <v>957</v>
      </c>
      <c r="L77" s="174" t="s">
        <v>899</v>
      </c>
      <c r="M77" s="174" t="s">
        <v>896</v>
      </c>
    </row>
    <row r="78" spans="1:13" x14ac:dyDescent="0.2">
      <c r="E78" s="185">
        <v>77</v>
      </c>
      <c r="F78" s="174" t="s">
        <v>961</v>
      </c>
      <c r="G78" s="174" t="s">
        <v>911</v>
      </c>
      <c r="H78" s="174" t="s">
        <v>895</v>
      </c>
      <c r="I78" s="174" t="s">
        <v>975</v>
      </c>
      <c r="J78" s="174" t="s">
        <v>946</v>
      </c>
      <c r="K78" s="174" t="s">
        <v>957</v>
      </c>
      <c r="L78" s="174" t="s">
        <v>899</v>
      </c>
      <c r="M78" s="174" t="s">
        <v>896</v>
      </c>
    </row>
    <row r="79" spans="1:13" x14ac:dyDescent="0.2">
      <c r="E79" s="185">
        <v>78</v>
      </c>
      <c r="F79" s="174" t="s">
        <v>961</v>
      </c>
      <c r="G79" s="174" t="s">
        <v>911</v>
      </c>
      <c r="H79" s="174" t="s">
        <v>895</v>
      </c>
      <c r="I79" s="174" t="s">
        <v>975</v>
      </c>
      <c r="J79" s="174" t="s">
        <v>946</v>
      </c>
      <c r="K79" s="174" t="s">
        <v>952</v>
      </c>
      <c r="L79" s="174" t="s">
        <v>899</v>
      </c>
      <c r="M79" s="174" t="s">
        <v>896</v>
      </c>
    </row>
    <row r="80" spans="1:13" x14ac:dyDescent="0.2">
      <c r="E80" s="185">
        <v>79</v>
      </c>
      <c r="F80" s="174" t="s">
        <v>961</v>
      </c>
      <c r="G80" s="174" t="s">
        <v>911</v>
      </c>
      <c r="H80" s="174" t="s">
        <v>895</v>
      </c>
      <c r="I80" s="174" t="s">
        <v>975</v>
      </c>
      <c r="J80" s="174" t="s">
        <v>946</v>
      </c>
      <c r="K80" s="174" t="s">
        <v>952</v>
      </c>
      <c r="L80" s="174" t="s">
        <v>899</v>
      </c>
      <c r="M80" s="174" t="s">
        <v>896</v>
      </c>
    </row>
    <row r="81" spans="5:13" x14ac:dyDescent="0.2">
      <c r="E81" s="185">
        <v>80</v>
      </c>
      <c r="F81" s="174" t="s">
        <v>961</v>
      </c>
      <c r="G81" s="174" t="s">
        <v>911</v>
      </c>
      <c r="H81" s="174" t="s">
        <v>895</v>
      </c>
      <c r="I81" s="174" t="s">
        <v>975</v>
      </c>
      <c r="J81" s="174" t="s">
        <v>894</v>
      </c>
      <c r="K81" s="174" t="s">
        <v>952</v>
      </c>
      <c r="L81" s="174" t="s">
        <v>899</v>
      </c>
      <c r="M81" s="174" t="s">
        <v>896</v>
      </c>
    </row>
    <row r="82" spans="5:13" x14ac:dyDescent="0.2">
      <c r="E82" s="185">
        <v>81</v>
      </c>
      <c r="F82" s="174" t="s">
        <v>962</v>
      </c>
      <c r="G82" s="174" t="s">
        <v>911</v>
      </c>
      <c r="H82" s="174" t="s">
        <v>895</v>
      </c>
      <c r="I82" s="174" t="s">
        <v>975</v>
      </c>
      <c r="J82" s="174" t="s">
        <v>894</v>
      </c>
      <c r="K82" s="174" t="s">
        <v>951</v>
      </c>
      <c r="L82" s="174" t="s">
        <v>899</v>
      </c>
      <c r="M82" s="174" t="s">
        <v>896</v>
      </c>
    </row>
    <row r="83" spans="5:13" x14ac:dyDescent="0.2">
      <c r="E83" s="185">
        <v>82</v>
      </c>
      <c r="F83" s="174" t="s">
        <v>962</v>
      </c>
      <c r="G83" s="174" t="s">
        <v>911</v>
      </c>
      <c r="H83" s="174" t="s">
        <v>895</v>
      </c>
      <c r="I83" s="174" t="s">
        <v>975</v>
      </c>
      <c r="J83" s="174" t="s">
        <v>894</v>
      </c>
      <c r="K83" s="174" t="s">
        <v>951</v>
      </c>
      <c r="L83" s="174" t="s">
        <v>899</v>
      </c>
      <c r="M83" s="174" t="s">
        <v>896</v>
      </c>
    </row>
    <row r="84" spans="5:13" x14ac:dyDescent="0.2">
      <c r="E84" s="185">
        <v>83</v>
      </c>
      <c r="F84" s="174" t="s">
        <v>962</v>
      </c>
      <c r="G84" s="174" t="s">
        <v>911</v>
      </c>
      <c r="H84" s="174" t="s">
        <v>895</v>
      </c>
      <c r="I84" s="174" t="s">
        <v>975</v>
      </c>
      <c r="J84" s="174" t="s">
        <v>894</v>
      </c>
      <c r="K84" s="174" t="s">
        <v>951</v>
      </c>
      <c r="L84" s="174" t="s">
        <v>899</v>
      </c>
      <c r="M84" s="174" t="s">
        <v>896</v>
      </c>
    </row>
    <row r="85" spans="5:13" x14ac:dyDescent="0.2">
      <c r="E85" s="185">
        <v>84</v>
      </c>
      <c r="F85" s="174" t="s">
        <v>962</v>
      </c>
      <c r="G85" s="174" t="s">
        <v>911</v>
      </c>
      <c r="H85" s="174" t="s">
        <v>895</v>
      </c>
      <c r="I85" s="174" t="s">
        <v>975</v>
      </c>
      <c r="J85" s="174" t="s">
        <v>894</v>
      </c>
      <c r="K85" s="174" t="s">
        <v>951</v>
      </c>
      <c r="L85" s="174" t="s">
        <v>899</v>
      </c>
      <c r="M85" s="174" t="s">
        <v>896</v>
      </c>
    </row>
    <row r="86" spans="5:13" x14ac:dyDescent="0.2">
      <c r="E86" s="185">
        <v>85</v>
      </c>
      <c r="F86" s="174" t="s">
        <v>962</v>
      </c>
      <c r="G86" s="174" t="s">
        <v>911</v>
      </c>
      <c r="H86" s="174" t="s">
        <v>895</v>
      </c>
      <c r="I86" s="174" t="s">
        <v>975</v>
      </c>
      <c r="J86" s="174" t="s">
        <v>894</v>
      </c>
      <c r="K86" s="174" t="s">
        <v>951</v>
      </c>
      <c r="L86" s="174" t="s">
        <v>899</v>
      </c>
      <c r="M86" s="174" t="s">
        <v>896</v>
      </c>
    </row>
    <row r="87" spans="5:13" x14ac:dyDescent="0.2">
      <c r="E87" s="185">
        <v>86</v>
      </c>
      <c r="F87" s="174" t="s">
        <v>962</v>
      </c>
      <c r="G87" s="174" t="s">
        <v>911</v>
      </c>
      <c r="H87" s="174" t="s">
        <v>895</v>
      </c>
      <c r="I87" s="174" t="s">
        <v>975</v>
      </c>
      <c r="J87" s="174" t="s">
        <v>894</v>
      </c>
      <c r="K87" s="174" t="s">
        <v>951</v>
      </c>
      <c r="L87" s="174" t="s">
        <v>899</v>
      </c>
      <c r="M87" s="174" t="s">
        <v>896</v>
      </c>
    </row>
    <row r="88" spans="5:13" x14ac:dyDescent="0.2">
      <c r="E88" s="185">
        <v>87</v>
      </c>
      <c r="F88" s="174" t="s">
        <v>962</v>
      </c>
      <c r="G88" s="174" t="s">
        <v>911</v>
      </c>
      <c r="H88" s="174" t="s">
        <v>895</v>
      </c>
      <c r="I88" s="174" t="s">
        <v>975</v>
      </c>
      <c r="J88" s="174" t="s">
        <v>894</v>
      </c>
      <c r="K88" s="174" t="s">
        <v>951</v>
      </c>
      <c r="L88" s="174" t="s">
        <v>899</v>
      </c>
      <c r="M88" s="174" t="s">
        <v>896</v>
      </c>
    </row>
    <row r="89" spans="5:13" x14ac:dyDescent="0.2">
      <c r="E89" s="185">
        <v>88</v>
      </c>
      <c r="F89" s="174" t="s">
        <v>962</v>
      </c>
      <c r="G89" s="174" t="s">
        <v>911</v>
      </c>
      <c r="H89" s="174" t="s">
        <v>895</v>
      </c>
      <c r="I89" s="174" t="s">
        <v>975</v>
      </c>
      <c r="J89" s="174" t="s">
        <v>894</v>
      </c>
      <c r="K89" s="174" t="s">
        <v>951</v>
      </c>
      <c r="L89" s="174" t="s">
        <v>899</v>
      </c>
      <c r="M89" s="174" t="s">
        <v>896</v>
      </c>
    </row>
    <row r="90" spans="5:13" x14ac:dyDescent="0.2">
      <c r="E90" s="185">
        <v>89</v>
      </c>
      <c r="F90" s="174" t="s">
        <v>962</v>
      </c>
      <c r="G90" s="174" t="s">
        <v>911</v>
      </c>
      <c r="H90" s="174" t="s">
        <v>895</v>
      </c>
      <c r="I90" s="174" t="s">
        <v>975</v>
      </c>
      <c r="J90" s="174" t="s">
        <v>894</v>
      </c>
      <c r="K90" s="174" t="s">
        <v>951</v>
      </c>
      <c r="L90" s="174" t="s">
        <v>899</v>
      </c>
      <c r="M90" s="174" t="s">
        <v>896</v>
      </c>
    </row>
    <row r="91" spans="5:13" x14ac:dyDescent="0.2">
      <c r="E91" s="185">
        <v>90</v>
      </c>
      <c r="F91" s="174" t="s">
        <v>962</v>
      </c>
      <c r="G91" s="174" t="s">
        <v>911</v>
      </c>
      <c r="H91" s="174" t="s">
        <v>895</v>
      </c>
      <c r="I91" s="174" t="s">
        <v>975</v>
      </c>
      <c r="J91" s="174" t="s">
        <v>945</v>
      </c>
      <c r="K91" s="174" t="s">
        <v>955</v>
      </c>
      <c r="L91" s="174" t="s">
        <v>899</v>
      </c>
      <c r="M91" s="174" t="s">
        <v>896</v>
      </c>
    </row>
    <row r="92" spans="5:13" x14ac:dyDescent="0.2">
      <c r="E92" s="185">
        <v>91</v>
      </c>
      <c r="F92" s="174" t="s">
        <v>962</v>
      </c>
      <c r="G92" s="174" t="s">
        <v>911</v>
      </c>
      <c r="H92" s="174" t="s">
        <v>895</v>
      </c>
      <c r="I92" s="174" t="s">
        <v>975</v>
      </c>
      <c r="J92" s="174" t="s">
        <v>945</v>
      </c>
      <c r="K92" s="174" t="s">
        <v>955</v>
      </c>
      <c r="L92" s="174" t="s">
        <v>899</v>
      </c>
      <c r="M92" s="174" t="s">
        <v>976</v>
      </c>
    </row>
    <row r="93" spans="5:13" x14ac:dyDescent="0.2">
      <c r="E93" s="185">
        <v>92</v>
      </c>
      <c r="F93" s="174" t="s">
        <v>962</v>
      </c>
      <c r="G93" s="174" t="s">
        <v>911</v>
      </c>
      <c r="H93" s="174" t="s">
        <v>895</v>
      </c>
      <c r="I93" s="174" t="s">
        <v>975</v>
      </c>
      <c r="J93" s="174" t="s">
        <v>945</v>
      </c>
      <c r="K93" s="174" t="s">
        <v>955</v>
      </c>
      <c r="L93" s="174" t="s">
        <v>899</v>
      </c>
      <c r="M93" s="174" t="s">
        <v>976</v>
      </c>
    </row>
    <row r="94" spans="5:13" x14ac:dyDescent="0.2">
      <c r="E94" s="185">
        <v>93</v>
      </c>
      <c r="F94" s="174" t="s">
        <v>962</v>
      </c>
      <c r="G94" s="174" t="s">
        <v>911</v>
      </c>
      <c r="H94" s="174" t="s">
        <v>895</v>
      </c>
      <c r="I94" s="174" t="s">
        <v>975</v>
      </c>
      <c r="J94" s="174" t="s">
        <v>945</v>
      </c>
      <c r="K94" s="174" t="s">
        <v>969</v>
      </c>
      <c r="L94" s="174" t="s">
        <v>899</v>
      </c>
      <c r="M94" s="174" t="s">
        <v>976</v>
      </c>
    </row>
    <row r="95" spans="5:13" x14ac:dyDescent="0.2">
      <c r="E95" s="185">
        <v>94</v>
      </c>
      <c r="F95" s="174" t="s">
        <v>962</v>
      </c>
      <c r="G95" s="174" t="s">
        <v>911</v>
      </c>
      <c r="H95" s="174" t="s">
        <v>895</v>
      </c>
      <c r="I95" s="174" t="s">
        <v>975</v>
      </c>
      <c r="J95" s="174" t="s">
        <v>945</v>
      </c>
      <c r="K95" s="174" t="s">
        <v>969</v>
      </c>
      <c r="L95" s="174" t="s">
        <v>899</v>
      </c>
      <c r="M95" s="174" t="s">
        <v>976</v>
      </c>
    </row>
    <row r="96" spans="5:13" x14ac:dyDescent="0.2">
      <c r="E96" s="185">
        <v>95</v>
      </c>
      <c r="F96" s="174" t="s">
        <v>962</v>
      </c>
      <c r="G96" s="174" t="s">
        <v>911</v>
      </c>
      <c r="H96" s="174" t="s">
        <v>895</v>
      </c>
      <c r="I96" s="174" t="s">
        <v>975</v>
      </c>
      <c r="J96" s="174" t="s">
        <v>945</v>
      </c>
      <c r="K96" s="174" t="s">
        <v>969</v>
      </c>
      <c r="L96" s="174" t="s">
        <v>899</v>
      </c>
      <c r="M96" s="174" t="s">
        <v>976</v>
      </c>
    </row>
    <row r="97" spans="5:13" x14ac:dyDescent="0.2">
      <c r="E97" s="185">
        <v>96</v>
      </c>
      <c r="F97" s="174" t="s">
        <v>962</v>
      </c>
      <c r="G97" s="174" t="s">
        <v>911</v>
      </c>
      <c r="H97" s="174" t="s">
        <v>895</v>
      </c>
      <c r="I97" s="174" t="s">
        <v>975</v>
      </c>
      <c r="J97" s="174" t="s">
        <v>945</v>
      </c>
      <c r="K97" s="174" t="s">
        <v>974</v>
      </c>
      <c r="L97" s="174" t="s">
        <v>899</v>
      </c>
      <c r="M97" s="174" t="s">
        <v>976</v>
      </c>
    </row>
    <row r="98" spans="5:13" x14ac:dyDescent="0.2">
      <c r="E98" s="185">
        <v>97</v>
      </c>
      <c r="F98" s="174" t="s">
        <v>962</v>
      </c>
      <c r="G98" s="174" t="s">
        <v>911</v>
      </c>
      <c r="H98" s="174" t="s">
        <v>895</v>
      </c>
      <c r="I98" s="174" t="s">
        <v>975</v>
      </c>
      <c r="J98" s="174" t="s">
        <v>945</v>
      </c>
      <c r="K98" s="174" t="s">
        <v>974</v>
      </c>
      <c r="L98" s="174" t="s">
        <v>899</v>
      </c>
      <c r="M98" s="174" t="s">
        <v>976</v>
      </c>
    </row>
    <row r="99" spans="5:13" x14ac:dyDescent="0.2">
      <c r="E99" s="185">
        <v>98</v>
      </c>
      <c r="F99" s="174" t="s">
        <v>962</v>
      </c>
      <c r="G99" s="174" t="s">
        <v>911</v>
      </c>
      <c r="H99" s="174" t="s">
        <v>895</v>
      </c>
      <c r="I99" s="174" t="s">
        <v>975</v>
      </c>
      <c r="J99" s="174" t="s">
        <v>945</v>
      </c>
      <c r="K99" s="174" t="s">
        <v>974</v>
      </c>
      <c r="L99" s="174" t="s">
        <v>899</v>
      </c>
      <c r="M99" s="174" t="s">
        <v>976</v>
      </c>
    </row>
    <row r="100" spans="5:13" x14ac:dyDescent="0.2">
      <c r="E100" s="185">
        <v>99</v>
      </c>
      <c r="F100" s="174" t="s">
        <v>962</v>
      </c>
      <c r="G100" s="174" t="s">
        <v>911</v>
      </c>
      <c r="H100" s="174" t="s">
        <v>895</v>
      </c>
      <c r="I100" s="174" t="s">
        <v>975</v>
      </c>
      <c r="J100" s="174" t="s">
        <v>945</v>
      </c>
      <c r="K100" s="174" t="s">
        <v>966</v>
      </c>
      <c r="L100" s="174" t="s">
        <v>899</v>
      </c>
      <c r="M100" s="174" t="s">
        <v>976</v>
      </c>
    </row>
    <row r="101" spans="5:13" x14ac:dyDescent="0.2">
      <c r="E101" s="185">
        <v>100</v>
      </c>
      <c r="F101" s="174" t="s">
        <v>962</v>
      </c>
      <c r="G101" s="174" t="s">
        <v>911</v>
      </c>
      <c r="H101" s="174" t="s">
        <v>895</v>
      </c>
      <c r="I101" s="174" t="s">
        <v>975</v>
      </c>
      <c r="J101" s="174" t="s">
        <v>945</v>
      </c>
      <c r="K101" s="174" t="s">
        <v>966</v>
      </c>
      <c r="L101" s="174" t="s">
        <v>899</v>
      </c>
      <c r="M101" s="174" t="s">
        <v>976</v>
      </c>
    </row>
    <row r="111" spans="5:13" x14ac:dyDescent="0.2">
      <c r="J111" s="185">
        <v>93</v>
      </c>
      <c r="K111" s="174" t="s">
        <v>967</v>
      </c>
    </row>
    <row r="112" spans="5:13" x14ac:dyDescent="0.2">
      <c r="J112" s="185">
        <v>94</v>
      </c>
      <c r="K112" s="174" t="s">
        <v>968</v>
      </c>
    </row>
    <row r="113" spans="10:11" x14ac:dyDescent="0.2">
      <c r="J113" s="185">
        <v>95</v>
      </c>
      <c r="K113" s="182" t="s">
        <v>969</v>
      </c>
    </row>
    <row r="114" spans="10:11" x14ac:dyDescent="0.2">
      <c r="J114" s="185">
        <v>96</v>
      </c>
      <c r="K114" s="174" t="s">
        <v>971</v>
      </c>
    </row>
    <row r="115" spans="10:11" x14ac:dyDescent="0.2">
      <c r="J115" s="185">
        <v>97</v>
      </c>
      <c r="K115" s="174" t="s">
        <v>973</v>
      </c>
    </row>
    <row r="116" spans="10:11" x14ac:dyDescent="0.2">
      <c r="J116" s="185">
        <v>98</v>
      </c>
      <c r="K116" s="182" t="s">
        <v>974</v>
      </c>
    </row>
    <row r="117" spans="10:11" x14ac:dyDescent="0.2">
      <c r="J117" s="185">
        <v>99</v>
      </c>
      <c r="K117" s="174" t="s">
        <v>972</v>
      </c>
    </row>
    <row r="118" spans="10:11" x14ac:dyDescent="0.2">
      <c r="J118" s="185">
        <v>100</v>
      </c>
      <c r="K118" s="182" t="s">
        <v>966</v>
      </c>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Roman,Normaali"&amp;12&amp;A</oddHeader>
    <oddFooter>&amp;C&amp;"Times New Roman,Normaali"&amp;12Sivu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F51" sqref="F51"/>
    </sheetView>
  </sheetViews>
  <sheetFormatPr defaultColWidth="9.140625" defaultRowHeight="11.25" x14ac:dyDescent="0.2"/>
  <cols>
    <col min="1" max="1" width="14.85546875" style="4" customWidth="1"/>
    <col min="2" max="2" width="36" style="4" customWidth="1"/>
    <col min="3" max="3" width="20.7109375" style="4" customWidth="1"/>
    <col min="4" max="4" width="18.42578125" style="4" customWidth="1"/>
    <col min="5" max="5" width="10.85546875" style="4" customWidth="1"/>
    <col min="6" max="6" width="36" style="4" customWidth="1"/>
    <col min="7" max="16384" width="9.140625" style="4"/>
  </cols>
  <sheetData>
    <row r="1" spans="1:6" x14ac:dyDescent="0.2">
      <c r="A1" s="227" t="s">
        <v>208</v>
      </c>
      <c r="B1" s="227" t="s">
        <v>4058</v>
      </c>
      <c r="C1" s="227" t="s">
        <v>4059</v>
      </c>
      <c r="D1" s="227" t="s">
        <v>4060</v>
      </c>
      <c r="E1" s="227" t="s">
        <v>4061</v>
      </c>
      <c r="F1" s="228" t="s">
        <v>4062</v>
      </c>
    </row>
    <row r="2" spans="1:6" x14ac:dyDescent="0.2">
      <c r="A2" s="2" t="s">
        <v>937</v>
      </c>
      <c r="B2" s="4" t="s">
        <v>4063</v>
      </c>
    </row>
    <row r="3" spans="1:6" x14ac:dyDescent="0.2">
      <c r="A3" s="2" t="s">
        <v>967</v>
      </c>
      <c r="B3" s="4" t="s">
        <v>4063</v>
      </c>
    </row>
    <row r="4" spans="1:6" x14ac:dyDescent="0.2">
      <c r="A4" s="2" t="s">
        <v>178</v>
      </c>
      <c r="B4" s="4" t="s">
        <v>4063</v>
      </c>
    </row>
    <row r="5" spans="1:6" x14ac:dyDescent="0.2">
      <c r="A5" s="2" t="s">
        <v>997</v>
      </c>
      <c r="B5" s="4" t="s">
        <v>4063</v>
      </c>
    </row>
    <row r="6" spans="1:6" x14ac:dyDescent="0.2">
      <c r="A6" s="2" t="s">
        <v>968</v>
      </c>
      <c r="B6" s="4" t="s">
        <v>4063</v>
      </c>
    </row>
    <row r="7" spans="1:6" x14ac:dyDescent="0.2">
      <c r="A7" s="2" t="s">
        <v>947</v>
      </c>
      <c r="B7" s="4" t="s">
        <v>4063</v>
      </c>
    </row>
    <row r="8" spans="1:6" x14ac:dyDescent="0.2">
      <c r="A8" s="2" t="s">
        <v>978</v>
      </c>
    </row>
    <row r="9" spans="1:6" x14ac:dyDescent="0.2">
      <c r="A9" s="2" t="s">
        <v>913</v>
      </c>
      <c r="B9" s="4" t="s">
        <v>3753</v>
      </c>
      <c r="C9" s="4" t="s">
        <v>3723</v>
      </c>
      <c r="D9" s="4" t="s">
        <v>3783</v>
      </c>
    </row>
    <row r="10" spans="1:6" x14ac:dyDescent="0.2">
      <c r="A10" s="2" t="s">
        <v>894</v>
      </c>
      <c r="B10" s="4" t="s">
        <v>4063</v>
      </c>
    </row>
    <row r="11" spans="1:6" x14ac:dyDescent="0.2">
      <c r="A11" s="2" t="s">
        <v>1025</v>
      </c>
      <c r="B11" s="4" t="s">
        <v>4063</v>
      </c>
    </row>
    <row r="12" spans="1:6" x14ac:dyDescent="0.2">
      <c r="A12" s="2" t="s">
        <v>950</v>
      </c>
      <c r="B12" s="4" t="s">
        <v>4063</v>
      </c>
    </row>
    <row r="13" spans="1:6" x14ac:dyDescent="0.2">
      <c r="A13" s="2" t="s">
        <v>1035</v>
      </c>
      <c r="B13" s="4" t="s">
        <v>4063</v>
      </c>
    </row>
    <row r="14" spans="1:6" x14ac:dyDescent="0.2">
      <c r="A14" s="2" t="s">
        <v>977</v>
      </c>
    </row>
    <row r="15" spans="1:6" x14ac:dyDescent="0.2">
      <c r="A15" s="2" t="s">
        <v>976</v>
      </c>
    </row>
    <row r="16" spans="1:6" x14ac:dyDescent="0.2">
      <c r="A16" s="2" t="s">
        <v>943</v>
      </c>
      <c r="B16" s="4" t="s">
        <v>4063</v>
      </c>
    </row>
    <row r="17" spans="1:4" x14ac:dyDescent="0.2">
      <c r="A17" s="2" t="s">
        <v>938</v>
      </c>
      <c r="B17" s="4" t="s">
        <v>4063</v>
      </c>
    </row>
    <row r="18" spans="1:4" x14ac:dyDescent="0.2">
      <c r="A18" s="2" t="s">
        <v>895</v>
      </c>
      <c r="B18" s="4" t="s">
        <v>3753</v>
      </c>
      <c r="C18" s="4" t="s">
        <v>3723</v>
      </c>
      <c r="D18" s="4" t="s">
        <v>3783</v>
      </c>
    </row>
    <row r="19" spans="1:4" x14ac:dyDescent="0.2">
      <c r="A19" s="2" t="s">
        <v>969</v>
      </c>
      <c r="B19" s="4" t="s">
        <v>4063</v>
      </c>
    </row>
    <row r="20" spans="1:4" x14ac:dyDescent="0.2">
      <c r="A20" s="2" t="s">
        <v>949</v>
      </c>
      <c r="B20" s="4" t="s">
        <v>4063</v>
      </c>
    </row>
    <row r="21" spans="1:4" x14ac:dyDescent="0.2">
      <c r="A21" s="2" t="s">
        <v>957</v>
      </c>
      <c r="B21" s="4" t="s">
        <v>4063</v>
      </c>
    </row>
    <row r="22" spans="1:4" x14ac:dyDescent="0.2">
      <c r="A22" s="2" t="s">
        <v>962</v>
      </c>
      <c r="B22" s="4" t="s">
        <v>3753</v>
      </c>
      <c r="C22" s="4" t="s">
        <v>3723</v>
      </c>
      <c r="D22" s="4" t="s">
        <v>4064</v>
      </c>
    </row>
    <row r="23" spans="1:4" x14ac:dyDescent="0.2">
      <c r="A23" s="2" t="s">
        <v>971</v>
      </c>
      <c r="B23" s="4" t="s">
        <v>4063</v>
      </c>
    </row>
    <row r="24" spans="1:4" x14ac:dyDescent="0.2">
      <c r="A24" s="2" t="s">
        <v>1052</v>
      </c>
      <c r="B24" s="4" t="s">
        <v>4063</v>
      </c>
    </row>
    <row r="25" spans="1:4" x14ac:dyDescent="0.2">
      <c r="A25" s="2" t="s">
        <v>952</v>
      </c>
      <c r="B25" s="4" t="s">
        <v>4063</v>
      </c>
    </row>
    <row r="26" spans="1:4" x14ac:dyDescent="0.2">
      <c r="A26" s="2" t="s">
        <v>899</v>
      </c>
      <c r="B26" s="4" t="s">
        <v>4065</v>
      </c>
      <c r="C26" s="4" t="s">
        <v>3783</v>
      </c>
    </row>
    <row r="27" spans="1:4" x14ac:dyDescent="0.2">
      <c r="A27" s="2" t="s">
        <v>1058</v>
      </c>
      <c r="B27" s="4" t="s">
        <v>4066</v>
      </c>
      <c r="C27" s="4" t="s">
        <v>4067</v>
      </c>
      <c r="D27" s="4" t="s">
        <v>3783</v>
      </c>
    </row>
    <row r="28" spans="1:4" x14ac:dyDescent="0.2">
      <c r="A28" s="2" t="s">
        <v>980</v>
      </c>
    </row>
    <row r="29" spans="1:4" x14ac:dyDescent="0.2">
      <c r="A29" s="2" t="s">
        <v>958</v>
      </c>
      <c r="B29" s="4" t="s">
        <v>4063</v>
      </c>
    </row>
    <row r="30" spans="1:4" x14ac:dyDescent="0.2">
      <c r="A30" s="2" t="s">
        <v>959</v>
      </c>
      <c r="B30" s="4" t="s">
        <v>4063</v>
      </c>
    </row>
    <row r="31" spans="1:4" x14ac:dyDescent="0.2">
      <c r="A31" s="2" t="s">
        <v>960</v>
      </c>
      <c r="B31" s="4" t="s">
        <v>3753</v>
      </c>
      <c r="C31" s="4" t="s">
        <v>3723</v>
      </c>
      <c r="D31" s="4" t="s">
        <v>4064</v>
      </c>
    </row>
    <row r="32" spans="1:4" x14ac:dyDescent="0.2">
      <c r="A32" s="2" t="s">
        <v>985</v>
      </c>
      <c r="B32" s="4" t="s">
        <v>4063</v>
      </c>
    </row>
    <row r="33" spans="1:5" x14ac:dyDescent="0.2">
      <c r="A33" s="2" t="s">
        <v>1066</v>
      </c>
    </row>
    <row r="34" spans="1:5" x14ac:dyDescent="0.2">
      <c r="A34" s="2" t="s">
        <v>939</v>
      </c>
      <c r="B34" s="4" t="s">
        <v>4063</v>
      </c>
    </row>
    <row r="35" spans="1:5" x14ac:dyDescent="0.2">
      <c r="A35" s="2" t="s">
        <v>964</v>
      </c>
      <c r="B35" s="4" t="s">
        <v>4063</v>
      </c>
    </row>
    <row r="36" spans="1:5" x14ac:dyDescent="0.2">
      <c r="A36" s="2" t="s">
        <v>984</v>
      </c>
      <c r="B36" s="4" t="s">
        <v>4063</v>
      </c>
    </row>
    <row r="37" spans="1:5" x14ac:dyDescent="0.2">
      <c r="A37" s="2" t="s">
        <v>973</v>
      </c>
      <c r="B37" s="4" t="s">
        <v>4063</v>
      </c>
    </row>
    <row r="38" spans="1:5" x14ac:dyDescent="0.2">
      <c r="A38" s="2" t="s">
        <v>953</v>
      </c>
      <c r="B38" s="4" t="s">
        <v>4063</v>
      </c>
    </row>
    <row r="39" spans="1:5" x14ac:dyDescent="0.2">
      <c r="A39" s="2" t="s">
        <v>906</v>
      </c>
      <c r="B39" s="4" t="s">
        <v>4063</v>
      </c>
    </row>
    <row r="40" spans="1:5" x14ac:dyDescent="0.2">
      <c r="A40" s="2" t="s">
        <v>963</v>
      </c>
      <c r="B40" s="4" t="s">
        <v>4063</v>
      </c>
    </row>
    <row r="41" spans="1:5" x14ac:dyDescent="0.2">
      <c r="A41" s="2" t="s">
        <v>965</v>
      </c>
      <c r="B41" s="4" t="s">
        <v>4063</v>
      </c>
    </row>
    <row r="42" spans="1:5" x14ac:dyDescent="0.2">
      <c r="A42" s="2" t="s">
        <v>896</v>
      </c>
      <c r="B42" s="4" t="s">
        <v>3721</v>
      </c>
      <c r="C42" s="4" t="s">
        <v>3783</v>
      </c>
      <c r="D42" s="4" t="s">
        <v>3707</v>
      </c>
      <c r="E42" s="4" t="s">
        <v>3596</v>
      </c>
    </row>
    <row r="43" spans="1:5" x14ac:dyDescent="0.2">
      <c r="A43" s="2" t="s">
        <v>951</v>
      </c>
      <c r="B43" s="4" t="s">
        <v>4063</v>
      </c>
    </row>
    <row r="44" spans="1:5" x14ac:dyDescent="0.2">
      <c r="A44" s="2" t="s">
        <v>974</v>
      </c>
      <c r="B44" s="4" t="s">
        <v>4063</v>
      </c>
    </row>
    <row r="45" spans="1:5" x14ac:dyDescent="0.2">
      <c r="A45" s="2" t="s">
        <v>981</v>
      </c>
    </row>
    <row r="46" spans="1:5" x14ac:dyDescent="0.2">
      <c r="A46" s="2" t="s">
        <v>948</v>
      </c>
      <c r="B46" s="4" t="s">
        <v>4063</v>
      </c>
    </row>
    <row r="47" spans="1:5" x14ac:dyDescent="0.2">
      <c r="A47" s="2" t="s">
        <v>955</v>
      </c>
      <c r="B47" s="4" t="s">
        <v>4063</v>
      </c>
    </row>
    <row r="48" spans="1:5" x14ac:dyDescent="0.2">
      <c r="A48" s="2" t="s">
        <v>940</v>
      </c>
    </row>
    <row r="49" spans="1:6" x14ac:dyDescent="0.2">
      <c r="A49" s="2" t="s">
        <v>972</v>
      </c>
      <c r="B49" s="4" t="s">
        <v>4063</v>
      </c>
    </row>
    <row r="50" spans="1:6" x14ac:dyDescent="0.2">
      <c r="A50" s="2" t="s">
        <v>897</v>
      </c>
      <c r="B50" s="4" t="s">
        <v>4065</v>
      </c>
      <c r="C50" s="4" t="s">
        <v>3783</v>
      </c>
      <c r="D50" s="4" t="s">
        <v>3707</v>
      </c>
      <c r="E50" s="4" t="s">
        <v>3596</v>
      </c>
      <c r="F50" s="4" t="s">
        <v>4068</v>
      </c>
    </row>
    <row r="51" spans="1:6" x14ac:dyDescent="0.2">
      <c r="A51" s="2" t="s">
        <v>898</v>
      </c>
      <c r="B51" s="4" t="s">
        <v>4067</v>
      </c>
      <c r="C51" s="4" t="s">
        <v>3783</v>
      </c>
      <c r="D51" s="4" t="s">
        <v>3707</v>
      </c>
      <c r="E51" s="4" t="s">
        <v>3596</v>
      </c>
    </row>
    <row r="52" spans="1:6" x14ac:dyDescent="0.2">
      <c r="A52" s="2" t="s">
        <v>979</v>
      </c>
    </row>
    <row r="53" spans="1:6" x14ac:dyDescent="0.2">
      <c r="A53" s="2" t="s">
        <v>983</v>
      </c>
    </row>
    <row r="54" spans="1:6" x14ac:dyDescent="0.2">
      <c r="A54" s="2" t="s">
        <v>961</v>
      </c>
      <c r="B54" s="4" t="s">
        <v>3753</v>
      </c>
      <c r="C54" s="4" t="s">
        <v>3723</v>
      </c>
      <c r="D54" s="4" t="s">
        <v>4064</v>
      </c>
    </row>
    <row r="55" spans="1:6" x14ac:dyDescent="0.2">
      <c r="A55" s="2" t="s">
        <v>946</v>
      </c>
      <c r="B55" s="4" t="s">
        <v>4063</v>
      </c>
    </row>
    <row r="56" spans="1:6" x14ac:dyDescent="0.2">
      <c r="A56" s="2" t="s">
        <v>911</v>
      </c>
    </row>
    <row r="57" spans="1:6" x14ac:dyDescent="0.2">
      <c r="A57" s="2" t="s">
        <v>941</v>
      </c>
    </row>
    <row r="58" spans="1:6" x14ac:dyDescent="0.2">
      <c r="A58" s="2" t="s">
        <v>942</v>
      </c>
    </row>
    <row r="59" spans="1:6" x14ac:dyDescent="0.2">
      <c r="A59" s="2" t="s">
        <v>910</v>
      </c>
      <c r="B59" s="4" t="s">
        <v>4063</v>
      </c>
    </row>
    <row r="60" spans="1:6" x14ac:dyDescent="0.2">
      <c r="A60" s="2" t="s">
        <v>1150</v>
      </c>
      <c r="B60" s="4" t="s">
        <v>3753</v>
      </c>
      <c r="C60" s="4" t="s">
        <v>3723</v>
      </c>
      <c r="D60" s="4" t="s">
        <v>3783</v>
      </c>
    </row>
    <row r="61" spans="1:6" x14ac:dyDescent="0.2">
      <c r="A61" s="2" t="s">
        <v>966</v>
      </c>
      <c r="B61" s="4" t="s">
        <v>4063</v>
      </c>
    </row>
    <row r="62" spans="1:6" x14ac:dyDescent="0.2">
      <c r="A62" s="2" t="s">
        <v>908</v>
      </c>
      <c r="B62" s="4" t="s">
        <v>4063</v>
      </c>
    </row>
    <row r="63" spans="1:6" x14ac:dyDescent="0.2">
      <c r="A63" s="2" t="s">
        <v>909</v>
      </c>
      <c r="B63" s="4" t="s">
        <v>4063</v>
      </c>
    </row>
    <row r="64" spans="1:6" x14ac:dyDescent="0.2">
      <c r="A64" s="2" t="s">
        <v>982</v>
      </c>
    </row>
    <row r="65" spans="1:2" x14ac:dyDescent="0.2">
      <c r="A65" s="2" t="s">
        <v>956</v>
      </c>
      <c r="B65" s="4" t="s">
        <v>4063</v>
      </c>
    </row>
    <row r="66" spans="1:2" x14ac:dyDescent="0.2">
      <c r="A66" s="2" t="s">
        <v>975</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11</vt:i4>
      </vt:variant>
      <vt:variant>
        <vt:lpstr>Nimetyt alueet</vt:lpstr>
      </vt:variant>
      <vt:variant>
        <vt:i4>21</vt:i4>
      </vt:variant>
    </vt:vector>
  </HeadingPairs>
  <TitlesOfParts>
    <vt:vector size="32" baseType="lpstr">
      <vt:lpstr>Changelog</vt:lpstr>
      <vt:lpstr>Ohjeet</vt:lpstr>
      <vt:lpstr>Stats</vt:lpstr>
      <vt:lpstr>Skills</vt:lpstr>
      <vt:lpstr>Info</vt:lpstr>
      <vt:lpstr>HW</vt:lpstr>
      <vt:lpstr>TF</vt:lpstr>
      <vt:lpstr>RC</vt:lpstr>
      <vt:lpstr>Racial Talents</vt:lpstr>
      <vt:lpstr>Info_old</vt:lpstr>
      <vt:lpstr>HW_old</vt:lpstr>
      <vt:lpstr>Info_old!Alignment</vt:lpstr>
      <vt:lpstr>Alignment</vt:lpstr>
      <vt:lpstr>Info_old!Eyes</vt:lpstr>
      <vt:lpstr>Eyes</vt:lpstr>
      <vt:lpstr>Flaws</vt:lpstr>
      <vt:lpstr>Info_old!Hair</vt:lpstr>
      <vt:lpstr>Hair</vt:lpstr>
      <vt:lpstr>Info_old!Powers</vt:lpstr>
      <vt:lpstr>Powers</vt:lpstr>
      <vt:lpstr>Info_old!Professions</vt:lpstr>
      <vt:lpstr>Professions</vt:lpstr>
      <vt:lpstr>Info_old!Races</vt:lpstr>
      <vt:lpstr>Races</vt:lpstr>
      <vt:lpstr>Info_old!Skin</vt:lpstr>
      <vt:lpstr>Skin</vt:lpstr>
      <vt:lpstr>Talents</vt:lpstr>
      <vt:lpstr>Info_old!TPs</vt:lpstr>
      <vt:lpstr>TPs</vt:lpstr>
      <vt:lpstr>Ohjeet!Tulostusalue</vt:lpstr>
      <vt:lpstr>Skills!Tulostusalue</vt:lpstr>
      <vt:lpstr>Stats!Tulostusalue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dc:creator>
  <cp:lastModifiedBy>Kakkonen Mikko</cp:lastModifiedBy>
  <cp:lastPrinted>2018-08-03T12:48:52Z</cp:lastPrinted>
  <dcterms:created xsi:type="dcterms:W3CDTF">2014-12-07T19:59:07Z</dcterms:created>
  <dcterms:modified xsi:type="dcterms:W3CDTF">2018-08-30T06:06:59Z</dcterms:modified>
</cp:coreProperties>
</file>